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42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B10" i="12"/>
  <c r="B11" i="12"/>
  <c r="C11" i="12"/>
  <c r="C12" i="12"/>
  <c r="B12" i="12"/>
  <c r="C20" i="12"/>
  <c r="C19" i="12"/>
  <c r="B20" i="12"/>
  <c r="B19" i="12"/>
  <c r="C21" i="12"/>
  <c r="B21" i="12"/>
  <c r="C38" i="12"/>
  <c r="B38" i="12"/>
  <c r="H243" i="1" l="1"/>
  <c r="J179" i="1"/>
  <c r="H388" i="1"/>
  <c r="J591" i="1"/>
  <c r="I591" i="1"/>
  <c r="H591" i="1"/>
  <c r="J604" i="1"/>
  <c r="I604" i="1"/>
  <c r="H604" i="1"/>
  <c r="J594" i="1"/>
  <c r="J593" i="1"/>
  <c r="J592" i="1"/>
  <c r="I592" i="1"/>
  <c r="H592" i="1"/>
  <c r="H584" i="1"/>
  <c r="G528" i="1"/>
  <c r="G527" i="1"/>
  <c r="G526" i="1"/>
  <c r="J527" i="1"/>
  <c r="J526" i="1"/>
  <c r="I527" i="1"/>
  <c r="I526" i="1"/>
  <c r="H526" i="1"/>
  <c r="H527" i="1"/>
  <c r="F527" i="1"/>
  <c r="F526" i="1"/>
  <c r="J528" i="1"/>
  <c r="I528" i="1"/>
  <c r="H528" i="1"/>
  <c r="F528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57" i="1"/>
  <c r="G557" i="1"/>
  <c r="F557" i="1"/>
  <c r="J568" i="1"/>
  <c r="I568" i="1"/>
  <c r="I567" i="1"/>
  <c r="G499" i="1"/>
  <c r="G502" i="1"/>
  <c r="H397" i="1" l="1"/>
  <c r="G459" i="1"/>
  <c r="F459" i="1"/>
  <c r="F440" i="1"/>
  <c r="G388" i="1"/>
  <c r="F31" i="1"/>
  <c r="F29" i="1"/>
  <c r="F9" i="1" l="1"/>
  <c r="H244" i="1"/>
  <c r="F244" i="1"/>
  <c r="G244" i="1"/>
  <c r="G226" i="1"/>
  <c r="G208" i="1"/>
  <c r="J244" i="1"/>
  <c r="J226" i="1"/>
  <c r="J208" i="1"/>
  <c r="I244" i="1"/>
  <c r="I226" i="1"/>
  <c r="I208" i="1"/>
  <c r="H226" i="1"/>
  <c r="H208" i="1"/>
  <c r="F226" i="1"/>
  <c r="F208" i="1"/>
  <c r="K244" i="1"/>
  <c r="K226" i="1"/>
  <c r="K208" i="1"/>
  <c r="H225" i="1"/>
  <c r="H207" i="1"/>
  <c r="G243" i="1"/>
  <c r="G225" i="1"/>
  <c r="G207" i="1"/>
  <c r="I243" i="1"/>
  <c r="I225" i="1"/>
  <c r="I207" i="1"/>
  <c r="F243" i="1"/>
  <c r="F225" i="1"/>
  <c r="F207" i="1"/>
  <c r="J243" i="1"/>
  <c r="J225" i="1"/>
  <c r="J207" i="1"/>
  <c r="G241" i="1"/>
  <c r="K241" i="1"/>
  <c r="K223" i="1"/>
  <c r="K205" i="1"/>
  <c r="J205" i="1"/>
  <c r="J223" i="1"/>
  <c r="J241" i="1"/>
  <c r="I241" i="1"/>
  <c r="I223" i="1"/>
  <c r="I205" i="1"/>
  <c r="H241" i="1"/>
  <c r="H223" i="1"/>
  <c r="H205" i="1"/>
  <c r="F241" i="1"/>
  <c r="F223" i="1"/>
  <c r="F205" i="1"/>
  <c r="K240" i="1"/>
  <c r="K204" i="1"/>
  <c r="I204" i="1"/>
  <c r="H204" i="1"/>
  <c r="G204" i="1"/>
  <c r="F204" i="1"/>
  <c r="I240" i="1"/>
  <c r="H240" i="1"/>
  <c r="G240" i="1"/>
  <c r="F240" i="1"/>
  <c r="H222" i="1"/>
  <c r="G222" i="1"/>
  <c r="F222" i="1"/>
  <c r="K222" i="1"/>
  <c r="I222" i="1"/>
  <c r="G239" i="1"/>
  <c r="G221" i="1"/>
  <c r="G203" i="1"/>
  <c r="J239" i="1"/>
  <c r="J221" i="1"/>
  <c r="J203" i="1"/>
  <c r="H239" i="1"/>
  <c r="H221" i="1"/>
  <c r="H203" i="1"/>
  <c r="F239" i="1"/>
  <c r="F221" i="1"/>
  <c r="F203" i="1"/>
  <c r="I221" i="1"/>
  <c r="I203" i="1"/>
  <c r="K239" i="1"/>
  <c r="I239" i="1"/>
  <c r="G220" i="1"/>
  <c r="G202" i="1"/>
  <c r="J220" i="1"/>
  <c r="J202" i="1"/>
  <c r="I220" i="1"/>
  <c r="I202" i="1"/>
  <c r="H220" i="1"/>
  <c r="H202" i="1"/>
  <c r="F220" i="1"/>
  <c r="F202" i="1"/>
  <c r="G238" i="1"/>
  <c r="J238" i="1"/>
  <c r="I238" i="1"/>
  <c r="H238" i="1"/>
  <c r="F238" i="1"/>
  <c r="K238" i="1"/>
  <c r="G236" i="1"/>
  <c r="F236" i="1"/>
  <c r="G218" i="1"/>
  <c r="F218" i="1"/>
  <c r="K236" i="1"/>
  <c r="J218" i="1"/>
  <c r="J236" i="1"/>
  <c r="I236" i="1"/>
  <c r="I218" i="1"/>
  <c r="I200" i="1"/>
  <c r="H236" i="1"/>
  <c r="H218" i="1"/>
  <c r="G200" i="1"/>
  <c r="K218" i="1"/>
  <c r="K200" i="1"/>
  <c r="F200" i="1"/>
  <c r="H235" i="1"/>
  <c r="H198" i="1"/>
  <c r="G216" i="1"/>
  <c r="G198" i="1"/>
  <c r="J216" i="1"/>
  <c r="I216" i="1"/>
  <c r="I198" i="1"/>
  <c r="F216" i="1"/>
  <c r="F198" i="1"/>
  <c r="H234" i="1"/>
  <c r="H216" i="1"/>
  <c r="G234" i="1"/>
  <c r="F234" i="1"/>
  <c r="J234" i="1"/>
  <c r="J198" i="1"/>
  <c r="I234" i="1"/>
  <c r="G233" i="1"/>
  <c r="G215" i="1"/>
  <c r="G197" i="1"/>
  <c r="I233" i="1"/>
  <c r="I215" i="1"/>
  <c r="I197" i="1"/>
  <c r="H233" i="1"/>
  <c r="H215" i="1"/>
  <c r="H197" i="1"/>
  <c r="K233" i="1"/>
  <c r="K215" i="1"/>
  <c r="J233" i="1"/>
  <c r="J215" i="1"/>
  <c r="J197" i="1"/>
  <c r="F233" i="1"/>
  <c r="F215" i="1"/>
  <c r="F197" i="1"/>
  <c r="F110" i="1"/>
  <c r="F101" i="1" l="1"/>
  <c r="F98" i="1"/>
  <c r="F63" i="1"/>
  <c r="F68" i="1"/>
  <c r="K277" i="1"/>
  <c r="F315" i="1"/>
  <c r="F296" i="1"/>
  <c r="G315" i="1"/>
  <c r="G296" i="1"/>
  <c r="G277" i="1"/>
  <c r="H281" i="1"/>
  <c r="F277" i="1"/>
  <c r="J315" i="1"/>
  <c r="J296" i="1"/>
  <c r="J277" i="1"/>
  <c r="I315" i="1"/>
  <c r="I296" i="1"/>
  <c r="I277" i="1"/>
  <c r="H315" i="1"/>
  <c r="H296" i="1"/>
  <c r="H277" i="1"/>
  <c r="H320" i="1"/>
  <c r="H301" i="1"/>
  <c r="H282" i="1"/>
  <c r="K320" i="1"/>
  <c r="K301" i="1"/>
  <c r="K282" i="1"/>
  <c r="G320" i="1"/>
  <c r="G301" i="1"/>
  <c r="G282" i="1"/>
  <c r="F320" i="1"/>
  <c r="F301" i="1"/>
  <c r="F282" i="1"/>
  <c r="H468" i="1"/>
  <c r="H155" i="1"/>
  <c r="H159" i="1"/>
  <c r="H154" i="1"/>
  <c r="H367" i="1"/>
  <c r="G367" i="1"/>
  <c r="F367" i="1"/>
  <c r="G472" i="1"/>
  <c r="G360" i="1"/>
  <c r="G468" i="1"/>
  <c r="G132" i="1"/>
  <c r="G97" i="1"/>
  <c r="C45" i="2" l="1"/>
  <c r="C37" i="10" l="1"/>
  <c r="F40" i="2" l="1"/>
  <c r="D39" i="2"/>
  <c r="G655" i="1"/>
  <c r="F48" i="2"/>
  <c r="E48" i="2"/>
  <c r="D48" i="2"/>
  <c r="C48" i="2"/>
  <c r="F47" i="2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G13" i="13"/>
  <c r="L206" i="1"/>
  <c r="L224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G12" i="13"/>
  <c r="L205" i="1"/>
  <c r="L223" i="1"/>
  <c r="G14" i="13"/>
  <c r="L207" i="1"/>
  <c r="L225" i="1"/>
  <c r="G15" i="13"/>
  <c r="L208" i="1"/>
  <c r="L226" i="1"/>
  <c r="F17" i="13"/>
  <c r="G17" i="13"/>
  <c r="D17" i="13" s="1"/>
  <c r="C17" i="13" s="1"/>
  <c r="L251" i="1"/>
  <c r="G18" i="13"/>
  <c r="G19" i="13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E113" i="2" s="1"/>
  <c r="L268" i="1"/>
  <c r="L269" i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K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D56" i="2"/>
  <c r="F56" i="2"/>
  <c r="C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D115" i="2"/>
  <c r="F115" i="2"/>
  <c r="G115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K247" i="1"/>
  <c r="F256" i="1"/>
  <c r="G256" i="1"/>
  <c r="H256" i="1"/>
  <c r="I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G461" i="1" s="1"/>
  <c r="H640" i="1" s="1"/>
  <c r="H452" i="1"/>
  <c r="H461" i="1" s="1"/>
  <c r="H641" i="1" s="1"/>
  <c r="F460" i="1"/>
  <c r="G460" i="1"/>
  <c r="H460" i="1"/>
  <c r="I460" i="1"/>
  <c r="F461" i="1"/>
  <c r="H639" i="1" s="1"/>
  <c r="G470" i="1"/>
  <c r="H470" i="1"/>
  <c r="I470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H628" i="1"/>
  <c r="H629" i="1"/>
  <c r="H630" i="1"/>
  <c r="G634" i="1"/>
  <c r="H634" i="1"/>
  <c r="J634" i="1" s="1"/>
  <c r="H635" i="1"/>
  <c r="H636" i="1"/>
  <c r="H638" i="1"/>
  <c r="G639" i="1"/>
  <c r="G641" i="1"/>
  <c r="G643" i="1"/>
  <c r="H643" i="1"/>
  <c r="J643" i="1" s="1"/>
  <c r="G645" i="1"/>
  <c r="H645" i="1"/>
  <c r="G650" i="1"/>
  <c r="G652" i="1"/>
  <c r="H652" i="1"/>
  <c r="G653" i="1"/>
  <c r="H653" i="1"/>
  <c r="G654" i="1"/>
  <c r="H654" i="1"/>
  <c r="H655" i="1"/>
  <c r="J655" i="1" s="1"/>
  <c r="C91" i="2"/>
  <c r="D91" i="2"/>
  <c r="L419" i="1"/>
  <c r="I169" i="1"/>
  <c r="J140" i="1"/>
  <c r="H140" i="1"/>
  <c r="A13" i="12" l="1"/>
  <c r="A31" i="12"/>
  <c r="J645" i="1"/>
  <c r="K605" i="1"/>
  <c r="G648" i="1" s="1"/>
  <c r="K598" i="1"/>
  <c r="G647" i="1" s="1"/>
  <c r="G552" i="1"/>
  <c r="H545" i="1"/>
  <c r="L544" i="1"/>
  <c r="I545" i="1"/>
  <c r="L534" i="1"/>
  <c r="J545" i="1"/>
  <c r="H552" i="1"/>
  <c r="K545" i="1"/>
  <c r="G545" i="1"/>
  <c r="L524" i="1"/>
  <c r="K551" i="1"/>
  <c r="K549" i="1"/>
  <c r="J571" i="1"/>
  <c r="F571" i="1"/>
  <c r="L560" i="1"/>
  <c r="I571" i="1"/>
  <c r="K571" i="1"/>
  <c r="L570" i="1"/>
  <c r="L565" i="1"/>
  <c r="H571" i="1"/>
  <c r="G164" i="2"/>
  <c r="K500" i="1"/>
  <c r="G157" i="2"/>
  <c r="I476" i="1"/>
  <c r="H625" i="1" s="1"/>
  <c r="G476" i="1"/>
  <c r="I452" i="1"/>
  <c r="I461" i="1" s="1"/>
  <c r="H642" i="1" s="1"/>
  <c r="J642" i="1" s="1"/>
  <c r="I446" i="1"/>
  <c r="G642" i="1" s="1"/>
  <c r="J639" i="1"/>
  <c r="J641" i="1"/>
  <c r="L433" i="1"/>
  <c r="L427" i="1"/>
  <c r="H408" i="1"/>
  <c r="I408" i="1"/>
  <c r="L393" i="1"/>
  <c r="C138" i="2" s="1"/>
  <c r="L401" i="1"/>
  <c r="C139" i="2" s="1"/>
  <c r="J640" i="1"/>
  <c r="C18" i="2"/>
  <c r="C26" i="10"/>
  <c r="C125" i="2"/>
  <c r="E16" i="13"/>
  <c r="C132" i="2"/>
  <c r="L270" i="1"/>
  <c r="C17" i="10"/>
  <c r="F14" i="13"/>
  <c r="C16" i="10"/>
  <c r="C119" i="2"/>
  <c r="D7" i="13"/>
  <c r="C7" i="13" s="1"/>
  <c r="C118" i="2"/>
  <c r="A40" i="12"/>
  <c r="C13" i="10"/>
  <c r="C12" i="10"/>
  <c r="K257" i="1"/>
  <c r="K271" i="1" s="1"/>
  <c r="C11" i="10"/>
  <c r="G257" i="1"/>
  <c r="G271" i="1" s="1"/>
  <c r="H257" i="1"/>
  <c r="H271" i="1" s="1"/>
  <c r="L211" i="1"/>
  <c r="C110" i="2"/>
  <c r="D5" i="13"/>
  <c r="C5" i="13" s="1"/>
  <c r="F257" i="1"/>
  <c r="F271" i="1" s="1"/>
  <c r="L229" i="1"/>
  <c r="I257" i="1"/>
  <c r="I271" i="1" s="1"/>
  <c r="C78" i="2"/>
  <c r="C70" i="2"/>
  <c r="C81" i="2" s="1"/>
  <c r="F112" i="1"/>
  <c r="F130" i="2"/>
  <c r="F144" i="2" s="1"/>
  <c r="F145" i="2" s="1"/>
  <c r="F78" i="2"/>
  <c r="F18" i="2"/>
  <c r="E31" i="2"/>
  <c r="H52" i="1"/>
  <c r="H619" i="1" s="1"/>
  <c r="J619" i="1" s="1"/>
  <c r="E142" i="2"/>
  <c r="L328" i="1"/>
  <c r="E125" i="2"/>
  <c r="K338" i="1"/>
  <c r="K352" i="1" s="1"/>
  <c r="E118" i="2"/>
  <c r="E122" i="2"/>
  <c r="E121" i="2"/>
  <c r="C10" i="10"/>
  <c r="H338" i="1"/>
  <c r="H352" i="1" s="1"/>
  <c r="E119" i="2"/>
  <c r="G338" i="1"/>
  <c r="G352" i="1" s="1"/>
  <c r="L309" i="1"/>
  <c r="F338" i="1"/>
  <c r="F352" i="1" s="1"/>
  <c r="H192" i="1"/>
  <c r="E103" i="2"/>
  <c r="H169" i="1"/>
  <c r="E78" i="2"/>
  <c r="E62" i="2"/>
  <c r="E63" i="2" s="1"/>
  <c r="H112" i="1"/>
  <c r="E56" i="2"/>
  <c r="D31" i="2"/>
  <c r="D18" i="2"/>
  <c r="L362" i="1"/>
  <c r="D29" i="13"/>
  <c r="C29" i="13" s="1"/>
  <c r="G661" i="1"/>
  <c r="G192" i="1"/>
  <c r="G112" i="1"/>
  <c r="D63" i="2"/>
  <c r="C16" i="13"/>
  <c r="E8" i="13"/>
  <c r="C8" i="13" s="1"/>
  <c r="L290" i="1"/>
  <c r="L539" i="1"/>
  <c r="K503" i="1"/>
  <c r="L382" i="1"/>
  <c r="G636" i="1" s="1"/>
  <c r="J636" i="1" s="1"/>
  <c r="E109" i="2"/>
  <c r="E115" i="2" s="1"/>
  <c r="C62" i="2"/>
  <c r="F661" i="1"/>
  <c r="C15" i="10"/>
  <c r="I552" i="1"/>
  <c r="D6" i="13"/>
  <c r="C6" i="13" s="1"/>
  <c r="G649" i="1"/>
  <c r="J649" i="1" s="1"/>
  <c r="J338" i="1"/>
  <c r="J352" i="1" s="1"/>
  <c r="D127" i="2"/>
  <c r="D128" i="2" s="1"/>
  <c r="D145" i="2" s="1"/>
  <c r="C120" i="2"/>
  <c r="C111" i="2"/>
  <c r="C56" i="2"/>
  <c r="F662" i="1"/>
  <c r="C35" i="10"/>
  <c r="H25" i="13"/>
  <c r="E81" i="2"/>
  <c r="F81" i="2"/>
  <c r="L351" i="1"/>
  <c r="G625" i="1"/>
  <c r="J625" i="1" s="1"/>
  <c r="L614" i="1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G169" i="1"/>
  <c r="C39" i="10" s="1"/>
  <c r="G140" i="1"/>
  <c r="F140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J652" i="1"/>
  <c r="G571" i="1"/>
  <c r="I434" i="1"/>
  <c r="G434" i="1"/>
  <c r="I663" i="1"/>
  <c r="C27" i="10"/>
  <c r="G635" i="1"/>
  <c r="J635" i="1" s="1"/>
  <c r="H644" i="1" l="1"/>
  <c r="J96" i="1"/>
  <c r="K552" i="1"/>
  <c r="L571" i="1"/>
  <c r="H623" i="1"/>
  <c r="G48" i="1"/>
  <c r="L408" i="1"/>
  <c r="H646" i="1" s="1"/>
  <c r="L241" i="1"/>
  <c r="C121" i="2" s="1"/>
  <c r="L243" i="1"/>
  <c r="D14" i="13" s="1"/>
  <c r="C14" i="13" s="1"/>
  <c r="F12" i="13"/>
  <c r="F13" i="13"/>
  <c r="L242" i="1"/>
  <c r="F660" i="1"/>
  <c r="G660" i="1"/>
  <c r="G664" i="1" s="1"/>
  <c r="G667" i="1" s="1"/>
  <c r="F193" i="1"/>
  <c r="I193" i="1"/>
  <c r="G630" i="1" s="1"/>
  <c r="J630" i="1" s="1"/>
  <c r="F104" i="2"/>
  <c r="F51" i="2"/>
  <c r="E51" i="2"/>
  <c r="E128" i="2"/>
  <c r="E145" i="2"/>
  <c r="H193" i="1"/>
  <c r="G629" i="1" s="1"/>
  <c r="J629" i="1" s="1"/>
  <c r="E104" i="2"/>
  <c r="I661" i="1"/>
  <c r="L338" i="1"/>
  <c r="L352" i="1" s="1"/>
  <c r="C25" i="13"/>
  <c r="H33" i="13"/>
  <c r="C63" i="2"/>
  <c r="C104" i="2" s="1"/>
  <c r="D31" i="13"/>
  <c r="C31" i="13" s="1"/>
  <c r="G193" i="1"/>
  <c r="G628" i="1" s="1"/>
  <c r="J628" i="1" s="1"/>
  <c r="G626" i="1"/>
  <c r="J52" i="1"/>
  <c r="H621" i="1" s="1"/>
  <c r="J621" i="1" s="1"/>
  <c r="C38" i="10"/>
  <c r="G637" i="1" l="1"/>
  <c r="J468" i="1"/>
  <c r="G644" i="1"/>
  <c r="J644" i="1" s="1"/>
  <c r="J111" i="1"/>
  <c r="J112" i="1" s="1"/>
  <c r="G59" i="2"/>
  <c r="G62" i="2" s="1"/>
  <c r="G63" i="2" s="1"/>
  <c r="G104" i="2" s="1"/>
  <c r="G51" i="1"/>
  <c r="D47" i="2"/>
  <c r="D50" i="2" s="1"/>
  <c r="D51" i="2" s="1"/>
  <c r="H637" i="1"/>
  <c r="J637" i="1" s="1"/>
  <c r="H631" i="1"/>
  <c r="J470" i="1"/>
  <c r="J476" i="1" s="1"/>
  <c r="H626" i="1" s="1"/>
  <c r="J626" i="1" s="1"/>
  <c r="C123" i="2"/>
  <c r="C20" i="10"/>
  <c r="D12" i="13"/>
  <c r="C12" i="13" s="1"/>
  <c r="C18" i="10"/>
  <c r="E13" i="13"/>
  <c r="C122" i="2"/>
  <c r="C19" i="10"/>
  <c r="F15" i="13"/>
  <c r="L244" i="1"/>
  <c r="L255" i="1" s="1"/>
  <c r="J247" i="1"/>
  <c r="F664" i="1"/>
  <c r="F667" i="1" s="1"/>
  <c r="G672" i="1"/>
  <c r="C5" i="10" s="1"/>
  <c r="G627" i="1"/>
  <c r="F468" i="1"/>
  <c r="G633" i="1"/>
  <c r="H472" i="1"/>
  <c r="J193" i="1" l="1"/>
  <c r="C36" i="10"/>
  <c r="C41" i="10" s="1"/>
  <c r="D38" i="10" s="1"/>
  <c r="G623" i="1"/>
  <c r="J623" i="1" s="1"/>
  <c r="G52" i="1"/>
  <c r="H618" i="1" s="1"/>
  <c r="J618" i="1" s="1"/>
  <c r="C130" i="2"/>
  <c r="C144" i="2" s="1"/>
  <c r="F22" i="13"/>
  <c r="C22" i="13" s="1"/>
  <c r="C29" i="10"/>
  <c r="L254" i="1"/>
  <c r="F18" i="13"/>
  <c r="L252" i="1"/>
  <c r="L253" i="1"/>
  <c r="J256" i="1"/>
  <c r="L256" i="1" s="1"/>
  <c r="F19" i="13"/>
  <c r="F672" i="1"/>
  <c r="C4" i="10" s="1"/>
  <c r="G651" i="1"/>
  <c r="J651" i="1" s="1"/>
  <c r="H662" i="1"/>
  <c r="I662" i="1" s="1"/>
  <c r="H647" i="1"/>
  <c r="J647" i="1" s="1"/>
  <c r="C21" i="10"/>
  <c r="D15" i="13"/>
  <c r="C124" i="2"/>
  <c r="C128" i="2" s="1"/>
  <c r="L247" i="1"/>
  <c r="C13" i="13"/>
  <c r="E33" i="13"/>
  <c r="D35" i="13" s="1"/>
  <c r="F470" i="1"/>
  <c r="H627" i="1"/>
  <c r="J627" i="1" s="1"/>
  <c r="H474" i="1"/>
  <c r="H476" i="1" s="1"/>
  <c r="H624" i="1" s="1"/>
  <c r="H633" i="1"/>
  <c r="J633" i="1" s="1"/>
  <c r="D40" i="10" l="1"/>
  <c r="D35" i="10"/>
  <c r="D36" i="10"/>
  <c r="G646" i="1"/>
  <c r="J646" i="1" s="1"/>
  <c r="G631" i="1"/>
  <c r="J631" i="1" s="1"/>
  <c r="D39" i="10"/>
  <c r="D37" i="10"/>
  <c r="F33" i="13"/>
  <c r="D18" i="13"/>
  <c r="C18" i="13" s="1"/>
  <c r="C114" i="2"/>
  <c r="C115" i="2" s="1"/>
  <c r="C145" i="2" s="1"/>
  <c r="D19" i="13"/>
  <c r="C19" i="13" s="1"/>
  <c r="C24" i="10"/>
  <c r="C28" i="10" s="1"/>
  <c r="J257" i="1"/>
  <c r="H660" i="1"/>
  <c r="L257" i="1"/>
  <c r="L271" i="1" s="1"/>
  <c r="C15" i="13"/>
  <c r="J624" i="1"/>
  <c r="D41" i="10" l="1"/>
  <c r="G632" i="1"/>
  <c r="F472" i="1"/>
  <c r="D33" i="13"/>
  <c r="D36" i="13" s="1"/>
  <c r="D25" i="10"/>
  <c r="D18" i="10"/>
  <c r="D20" i="10"/>
  <c r="D15" i="10"/>
  <c r="C30" i="10"/>
  <c r="D10" i="10"/>
  <c r="D19" i="10"/>
  <c r="D22" i="10"/>
  <c r="D21" i="10"/>
  <c r="D26" i="10"/>
  <c r="D16" i="10"/>
  <c r="D17" i="10"/>
  <c r="D24" i="10"/>
  <c r="D23" i="10"/>
  <c r="D11" i="10"/>
  <c r="D13" i="10"/>
  <c r="D12" i="10"/>
  <c r="D27" i="10"/>
  <c r="H648" i="1"/>
  <c r="J648" i="1" s="1"/>
  <c r="J271" i="1"/>
  <c r="H664" i="1"/>
  <c r="I660" i="1"/>
  <c r="I664" i="1" s="1"/>
  <c r="H632" i="1" l="1"/>
  <c r="J632" i="1" s="1"/>
  <c r="F474" i="1"/>
  <c r="F476" i="1" s="1"/>
  <c r="D28" i="10"/>
  <c r="I672" i="1"/>
  <c r="C7" i="10" s="1"/>
  <c r="I667" i="1"/>
  <c r="H667" i="1"/>
  <c r="H672" i="1"/>
  <c r="C6" i="10" s="1"/>
  <c r="H622" i="1" l="1"/>
  <c r="C49" i="2" l="1"/>
  <c r="C50" i="2" s="1"/>
  <c r="C51" i="2" s="1"/>
  <c r="F51" i="1"/>
  <c r="F52" i="1" l="1"/>
  <c r="H617" i="1" s="1"/>
  <c r="J617" i="1" s="1"/>
  <c r="G622" i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<sst xmlns="http://schemas.openxmlformats.org/spreadsheetml/2006/main" count="3960" uniqueCount="918">
  <si>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</si>
  <si>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</si>
  <si>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</si>
  <si>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</si>
  <si>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</si>
  <si>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</si>
  <si>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</si>
  <si>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</si>
  <si>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</si>
  <si>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</si>
  <si>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</si>
  <si>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</si>
  <si>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</si>
  <si>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</si>
  <si>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</si>
  <si>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</si>
  <si>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</si>
  <si>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</si>
  <si>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</si>
  <si>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</si>
  <si>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</si>
  <si>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</si>
  <si>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</si>
  <si>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</si>
  <si>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</si>
  <si>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</si>
  <si>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</si>
  <si>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</si>
  <si>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</si>
  <si>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</si>
  <si>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</si>
  <si>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</si>
  <si>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</si>
  <si>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</si>
  <si>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</si>
  <si>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</si>
  <si>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</si>
  <si>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</si>
  <si>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</si>
  <si>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</si>
  <si>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</si>
  <si>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</si>
  <si>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</si>
  <si>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</si>
  <si>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</si>
  <si>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</si>
  <si>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</si>
  <si>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</si>
  <si>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</si>
  <si>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</si>
  <si>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</si>
  <si>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</si>
  <si>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</si>
  <si>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</si>
  <si>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</si>
  <si>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</si>
  <si>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</si>
  <si>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</si>
  <si>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</si>
  <si>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</si>
  <si>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</si>
  <si>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</si>
  <si>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</si>
  <si>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</si>
  <si>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</si>
  <si>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</si>
  <si>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</si>
  <si>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</si>
  <si>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</si>
  <si>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</si>
  <si>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</si>
  <si>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</si>
  <si>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</si>
  <si>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</si>
  <si>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</si>
  <si>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</si>
  <si>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</si>
  <si>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</si>
  <si>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</si>
  <si>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</si>
  <si>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</si>
  <si>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</si>
  <si>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</si>
  <si>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</si>
  <si>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</si>
  <si>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</si>
  <si>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</si>
  <si>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</si>
  <si>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</si>
  <si>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</si>
  <si>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</si>
  <si>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</si>
  <si>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</si>
  <si>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</si>
  <si>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</si>
  <si>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</si>
  <si>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</si>
  <si>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</si>
  <si>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</si>
  <si>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</si>
  <si>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</si>
  <si>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</si>
  <si>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</si>
  <si>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</si>
  <si>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</si>
  <si>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</si>
  <si>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</si>
  <si>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</si>
  <si>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</si>
  <si>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</si>
  <si>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</si>
  <si>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</si>
  <si>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</si>
  <si>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</si>
  <si>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</si>
  <si>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</si>
  <si>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</si>
  <si>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</si>
  <si>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</si>
  <si>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</si>
  <si>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</si>
  <si>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</si>
  <si>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</si>
  <si>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</si>
  <si>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</si>
  <si>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</si>
  <si>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</si>
  <si>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</si>
  <si>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</si>
  <si>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</si>
  <si>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</si>
  <si>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</si>
  <si>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</si>
  <si>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</si>
  <si>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</si>
  <si>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</si>
  <si>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</si>
  <si>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</si>
  <si>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</si>
  <si>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</si>
  <si>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</si>
  <si>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</si>
  <si>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</si>
  <si>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</si>
  <si>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</si>
  <si>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</si>
  <si>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</si>
  <si>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</si>
  <si>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</si>
  <si>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</si>
  <si>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</si>
  <si>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</si>
  <si>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</si>
  <si>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</si>
  <si>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</si>
  <si>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</si>
  <si>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</si>
  <si>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</si>
  <si>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</si>
  <si>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</si>
  <si>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</si>
  <si>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</si>
  <si>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</si>
  <si>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</si>
  <si>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</si>
  <si>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</si>
  <si>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</si>
  <si>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</si>
  <si>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</si>
  <si>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</si>
  <si>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</si>
  <si>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</si>
  <si>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</si>
  <si>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</si>
  <si>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</si>
  <si>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</si>
  <si>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</si>
  <si>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</si>
  <si>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</si>
  <si>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</si>
  <si>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</si>
  <si>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</si>
  <si>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</si>
  <si>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</si>
  <si>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</si>
  <si>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</si>
  <si>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</si>
  <si>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</si>
  <si>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</si>
  <si>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</si>
  <si>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</si>
  <si>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</si>
  <si>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</si>
  <si>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</si>
  <si>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</si>
  <si>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</si>
  <si>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</si>
  <si>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</si>
  <si>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</si>
  <si>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</si>
  <si>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</si>
  <si>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</si>
  <si>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</si>
  <si>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</si>
  <si>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</si>
  <si>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</si>
  <si>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</si>
  <si>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</si>
  <si>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</si>
  <si>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</si>
  <si>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</si>
  <si>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</si>
  <si>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</si>
  <si>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</si>
  <si>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</si>
  <si>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</si>
  <si>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</si>
  <si>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</si>
  <si>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</si>
  <si>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</si>
  <si>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</si>
  <si>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</si>
  <si>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</si>
  <si>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</si>
  <si>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</si>
  <si>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</si>
  <si>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</si>
  <si>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</si>
  <si>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</si>
  <si>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</si>
  <si>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</si>
  <si>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</si>
  <si>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</si>
  <si>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</si>
  <si>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</si>
  <si>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</si>
  <si>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</si>
  <si>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</si>
  <si>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</si>
  <si>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</si>
  <si>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</si>
  <si>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</si>
  <si>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</si>
  <si>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</si>
  <si>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</si>
  <si>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</si>
  <si>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</si>
  <si>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</si>
  <si>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</si>
  <si>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</si>
  <si>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</si>
  <si>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</si>
  <si>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</si>
  <si>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</si>
  <si>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</si>
  <si>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</si>
  <si>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</si>
  <si>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</si>
  <si>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</si>
  <si>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</si>
  <si>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</si>
  <si>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</si>
  <si>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</si>
  <si>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</si>
  <si>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</si>
  <si>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</si>
  <si>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</si>
  <si>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</si>
  <si>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</si>
  <si>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</si>
  <si>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</si>
  <si>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</si>
  <si>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</si>
  <si>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</si>
  <si>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</si>
  <si>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</si>
  <si>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</si>
  <si>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</si>
  <si>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</si>
  <si>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</si>
  <si>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</si>
  <si>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</si>
  <si>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</si>
  <si>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</si>
  <si>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</si>
  <si>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</si>
  <si>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</si>
  <si>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</si>
  <si>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</si>
  <si>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</si>
  <si>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</si>
  <si>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</si>
  <si>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</si>
  <si>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</si>
  <si>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</si>
  <si>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</si>
  <si>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</si>
  <si>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</si>
  <si>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</si>
  <si>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</si>
  <si>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</si>
  <si>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</si>
  <si>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</si>
  <si>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</si>
  <si>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</si>
  <si>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</si>
  <si>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</si>
  <si>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</si>
  <si>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</si>
  <si>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</si>
  <si>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</si>
  <si>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</si>
  <si>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</si>
  <si>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</si>
  <si>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</si>
  <si>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</si>
  <si>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</si>
  <si>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</si>
  <si>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</si>
  <si>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</si>
  <si>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</si>
  <si>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</si>
  <si>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</si>
  <si>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</si>
  <si>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</si>
  <si>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</si>
  <si>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</si>
  <si>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</si>
  <si>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</si>
  <si>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</si>
  <si>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</si>
  <si>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</si>
  <si>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</si>
  <si>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</si>
  <si>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</si>
  <si>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</si>
  <si>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</si>
  <si>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</si>
  <si>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</si>
  <si>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</si>
  <si>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</si>
  <si>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</si>
  <si>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</si>
  <si>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</si>
  <si>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</si>
  <si>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</si>
  <si>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</si>
  <si>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</si>
  <si>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</si>
  <si>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</si>
  <si>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</si>
  <si>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</si>
  <si>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</si>
  <si>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</si>
  <si>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</si>
  <si>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</si>
  <si>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</si>
  <si>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</si>
  <si>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</si>
  <si>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</si>
  <si>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</si>
  <si>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</si>
  <si>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</si>
  <si>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</si>
  <si>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</si>
  <si>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</si>
  <si>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</si>
  <si>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</si>
  <si>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</si>
  <si>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</si>
  <si>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</si>
  <si>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</si>
  <si>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</si>
  <si>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</si>
  <si>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</si>
  <si>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</si>
  <si>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</si>
  <si>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</si>
  <si>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</si>
  <si>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</si>
  <si>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</si>
  <si>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</si>
  <si>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</si>
  <si>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</si>
  <si>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</si>
  <si>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</si>
  <si>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</si>
  <si>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</si>
  <si>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</si>
  <si>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</si>
  <si>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</si>
  <si>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</si>
  <si>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</si>
  <si>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</si>
  <si>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</si>
  <si>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</si>
  <si>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</si>
  <si>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</si>
  <si>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</si>
  <si>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</si>
  <si>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</si>
  <si>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</si>
  <si>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</si>
  <si>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</si>
  <si>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</si>
  <si>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</si>
  <si>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</si>
  <si>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</si>
  <si>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</si>
  <si>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</si>
  <si>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</si>
  <si>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</si>
  <si>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</si>
  <si>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</si>
  <si>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</si>
  <si>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</si>
  <si>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</si>
  <si>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</si>
  <si>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</si>
  <si>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</si>
  <si>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</si>
  <si>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</si>
  <si>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</si>
  <si>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</si>
  <si>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</si>
  <si>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</si>
  <si>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</si>
  <si>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</si>
  <si>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</si>
  <si>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</si>
  <si>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</si>
  <si>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</si>
  <si>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</si>
  <si>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</si>
  <si>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</si>
  <si>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</si>
  <si>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</si>
  <si>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</si>
  <si>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</si>
  <si>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</si>
  <si>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</si>
  <si>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</si>
  <si>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</si>
  <si>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</si>
  <si>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</si>
  <si>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</si>
  <si>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</si>
  <si>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</si>
  <si>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</si>
  <si>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</si>
  <si>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</si>
  <si>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</si>
  <si>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</si>
  <si>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</si>
  <si>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</si>
  <si>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</si>
  <si>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</si>
  <si>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</si>
  <si>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</si>
  <si>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</si>
  <si>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</si>
  <si>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</si>
  <si>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</si>
  <si>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</si>
  <si>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</si>
  <si>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</si>
  <si>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</si>
  <si>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</si>
  <si>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</si>
  <si>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</si>
  <si>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</si>
  <si>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</si>
  <si>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</si>
  <si>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</si>
  <si>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</si>
  <si>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</si>
  <si>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</si>
  <si>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</si>
  <si>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</si>
  <si>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</si>
  <si>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</si>
  <si>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</si>
  <si>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</si>
  <si>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</si>
  <si>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</si>
  <si>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</si>
  <si>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</si>
  <si>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</si>
  <si>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</si>
  <si>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</si>
  <si>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</si>
  <si>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</si>
  <si>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</si>
  <si>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</si>
  <si>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</si>
  <si>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</si>
  <si>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</si>
  <si>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</si>
  <si>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</si>
  <si>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</si>
  <si>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</si>
  <si>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</si>
  <si>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</si>
  <si>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</si>
  <si>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</si>
  <si>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</si>
  <si>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</si>
  <si>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</si>
  <si>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</si>
  <si>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</si>
  <si>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</si>
  <si>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</si>
  <si>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</si>
  <si>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</si>
  <si>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</si>
  <si>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</si>
  <si>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</si>
  <si>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</si>
  <si>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</si>
  <si>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</si>
  <si>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</si>
  <si>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</si>
  <si>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</si>
  <si>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</si>
  <si>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</si>
  <si>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</si>
  <si>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</si>
  <si>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</si>
  <si>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</si>
  <si>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</si>
  <si>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</si>
  <si>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</si>
  <si>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</si>
  <si>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</si>
  <si>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</si>
  <si>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</si>
  <si>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</si>
  <si>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</si>
  <si>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</si>
  <si>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</si>
  <si>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</si>
  <si>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</si>
  <si>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</si>
  <si>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</si>
  <si>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</si>
  <si>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</si>
  <si>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</si>
  <si>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</si>
  <si>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</si>
  <si>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</si>
  <si>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</si>
  <si>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</si>
  <si>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</si>
  <si>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</si>
  <si>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</si>
  <si>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</si>
  <si>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</si>
  <si>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</si>
  <si>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</si>
  <si>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</si>
  <si>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</si>
  <si>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</si>
  <si>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</si>
  <si>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</si>
  <si>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</si>
  <si>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</si>
  <si>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</si>
  <si>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</si>
  <si>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</si>
  <si>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</si>
  <si>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</si>
  <si>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</si>
  <si>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</si>
  <si>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</si>
  <si>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</si>
  <si>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</si>
  <si>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</si>
  <si>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</si>
  <si>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</si>
  <si>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</si>
  <si>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</si>
  <si>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</si>
  <si>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</si>
  <si>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</si>
  <si>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</si>
  <si>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</si>
  <si>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</si>
  <si>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</si>
  <si>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</si>
  <si>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</si>
  <si>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</si>
  <si>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</si>
  <si>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</si>
  <si>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</si>
  <si>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</si>
  <si>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</si>
  <si>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</si>
  <si>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</si>
  <si>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</si>
  <si>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</si>
  <si>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</si>
  <si>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</si>
  <si>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</si>
  <si>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</si>
  <si>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</si>
  <si>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</si>
  <si>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</si>
  <si>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</si>
  <si>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</si>
  <si>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</si>
  <si>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</si>
  <si>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</si>
  <si>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</si>
  <si>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</si>
  <si>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</si>
  <si>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</si>
  <si>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</si>
  <si>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</si>
  <si>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</si>
  <si>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</si>
  <si>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</si>
  <si>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</si>
  <si>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</si>
  <si>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</si>
  <si>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</si>
  <si>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</si>
  <si>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</si>
  <si>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</si>
  <si>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</si>
  <si>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</si>
  <si>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</si>
  <si>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</si>
  <si>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</si>
  <si>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</si>
  <si>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</si>
  <si>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</si>
  <si>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</si>
  <si>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</si>
  <si>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</si>
  <si>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</si>
  <si>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</si>
  <si>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</si>
  <si>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</si>
  <si>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</si>
  <si>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</si>
  <si>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</si>
  <si>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</si>
  <si>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</si>
  <si>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</si>
  <si>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</si>
  <si>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</si>
  <si>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</si>
  <si>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</si>
  <si>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</si>
  <si>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</si>
  <si>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</si>
  <si>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</si>
  <si>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</si>
  <si>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</si>
  <si>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</si>
  <si>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</si>
  <si>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</si>
  <si>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</si>
  <si>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</si>
  <si>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</si>
  <si>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</si>
  <si>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</si>
  <si>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</si>
  <si>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</si>
  <si>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</si>
  <si>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</si>
  <si>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</si>
  <si>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</si>
  <si>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</si>
  <si>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</si>
  <si>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</si>
  <si>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</si>
  <si>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</si>
  <si>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</si>
  <si>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</si>
  <si>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</si>
  <si>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</si>
  <si>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</si>
  <si>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</si>
  <si>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</si>
  <si>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</si>
  <si>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</si>
  <si>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</si>
  <si>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</si>
  <si>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</si>
  <si>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</si>
  <si>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</si>
  <si>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</si>
  <si>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</si>
  <si>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</si>
  <si>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</si>
  <si>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</si>
  <si>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</si>
  <si>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</si>
  <si>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</si>
  <si>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</si>
  <si>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</si>
  <si>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</si>
  <si>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</si>
  <si>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</si>
  <si>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</si>
  <si>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</si>
  <si>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</si>
  <si>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</si>
  <si>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</si>
  <si>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</si>
  <si>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</si>
  <si>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</si>
  <si>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</si>
  <si>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</si>
  <si>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</si>
  <si>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</si>
  <si>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</si>
  <si>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</si>
  <si>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</si>
  <si>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</si>
  <si>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</si>
  <si>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</si>
  <si>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</si>
  <si>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</si>
  <si>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</si>
  <si>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</si>
  <si>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</si>
  <si>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</si>
  <si>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</si>
  <si>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</si>
  <si>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</si>
  <si>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</si>
  <si>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</si>
  <si>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</si>
  <si>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</si>
  <si>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</si>
  <si>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</si>
  <si>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</si>
  <si>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</si>
  <si>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</si>
  <si>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</si>
  <si>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</si>
  <si>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</si>
  <si>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</si>
  <si>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</si>
  <si>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</si>
  <si>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</si>
  <si>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</si>
  <si>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</si>
  <si>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</si>
  <si>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</si>
  <si>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</si>
  <si>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</si>
  <si>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</si>
  <si>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</si>
  <si>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</si>
  <si>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</si>
  <si>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</si>
  <si>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</si>
  <si>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</si>
  <si>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</si>
  <si>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</si>
  <si>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</si>
  <si>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</si>
  <si>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</si>
  <si>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</si>
  <si>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</si>
  <si>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</si>
  <si>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</si>
  <si>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</si>
  <si>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</si>
  <si>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</si>
  <si>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</si>
  <si>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</si>
  <si>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</si>
  <si>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</si>
  <si>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</si>
  <si>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</si>
  <si>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</si>
  <si>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</si>
  <si>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</si>
  <si>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</si>
  <si>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</si>
  <si>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</si>
  <si>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</si>
  <si>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</si>
  <si>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</si>
  <si>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</si>
  <si>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</si>
  <si>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</si>
  <si>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</si>
  <si>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</si>
  <si>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</si>
  <si>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</si>
  <si>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</si>
  <si>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</si>
  <si>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</si>
  <si>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</si>
  <si>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</si>
  <si>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</si>
  <si>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</si>
  <si>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</si>
  <si>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</si>
  <si>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</si>
  <si>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</si>
  <si>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</si>
  <si>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</si>
  <si>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</si>
  <si>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</si>
  <si>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</si>
  <si>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</si>
  <si>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</si>
  <si>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</si>
  <si>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</si>
  <si>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</si>
  <si>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</si>
  <si>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</si>
  <si>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</si>
  <si>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</si>
  <si>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</si>
  <si>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</si>
  <si>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</si>
  <si>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</si>
  <si>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</si>
  <si>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</si>
  <si>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</si>
  <si>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</si>
  <si>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</si>
  <si>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</si>
  <si>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</si>
  <si>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</si>
  <si>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</si>
  <si>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</si>
  <si>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</si>
  <si>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</si>
  <si>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</si>
  <si>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</si>
  <si>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</si>
  <si>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</si>
  <si>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</si>
  <si>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</si>
  <si>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</si>
  <si>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</si>
  <si>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</si>
  <si>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</si>
  <si>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</si>
  <si>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</si>
  <si>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</si>
  <si>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</si>
  <si>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</si>
  <si>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</si>
  <si>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</si>
  <si>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</si>
  <si>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</si>
  <si>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</si>
  <si>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</si>
  <si>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</si>
  <si>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</si>
  <si>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</si>
  <si>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</si>
  <si>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</si>
  <si>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</si>
  <si>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</si>
  <si>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</si>
  <si>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</si>
  <si>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</si>
  <si>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</si>
  <si>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</si>
  <si>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</si>
  <si>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</si>
  <si>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</si>
  <si>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</si>
  <si>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</si>
  <si>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</si>
  <si>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</si>
  <si>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</si>
  <si>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</si>
  <si>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</si>
  <si>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</si>
  <si>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</si>
  <si>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</si>
  <si>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</si>
  <si>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</si>
  <si>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</si>
  <si>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</si>
  <si>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</si>
  <si>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</si>
  <si>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</si>
  <si>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</si>
  <si>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</si>
  <si>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</si>
  <si>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</si>
  <si>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</si>
  <si>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</si>
  <si>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</si>
  <si>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</si>
  <si>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</si>
  <si>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</si>
  <si>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</si>
  <si>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</si>
  <si>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</si>
  <si>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</si>
  <si>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</si>
  <si>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</si>
  <si>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</si>
  <si>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</si>
  <si>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</si>
  <si>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</si>
  <si>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</si>
  <si>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</si>
  <si>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</si>
  <si>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BOW SCHOOL DISTRICT</t>
  </si>
  <si>
    <t>Prior Year Audit Adjustment</t>
  </si>
  <si>
    <t>8/15/96</t>
  </si>
  <si>
    <t>7/1/2006</t>
  </si>
  <si>
    <t>8/20/16</t>
  </si>
  <si>
    <t>7/1/2026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</si>
</sst>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</v>
      </c>
      <c r="C2" s="21">
        <v>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2865022.14+10570.78</f>
        <v>2875592.92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1546299.1099999999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97863.93</v>
      </c>
      <c r="G12" s="18">
        <v>146595.79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100769.69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31243.26</v>
      </c>
      <c r="G14" s="18">
        <v>5337.77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14849.07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77491.75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3097040.9299999997</v>
      </c>
      <c r="G19" s="41">
        <f>SUM(G9:G18)</f>
        <v>151933.56</v>
      </c>
      <c r="H19" s="41">
        <f>SUM(H9:H18)</f>
        <v>100769.69</v>
      </c>
      <c r="I19" s="41">
        <f>SUM(I9:I18)</f>
        <v>0</v>
      </c>
      <c r="J19" s="41">
        <f>SUM(J9:J18)</f>
        <v>1546299.1099999999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146595.79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49249.85</v>
      </c>
      <c r="G23" s="18">
        <v>0</v>
      </c>
      <c r="H23" s="18">
        <v>97863.93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982012.21</v>
      </c>
      <c r="G24" s="18">
        <v>6450.27</v>
      </c>
      <c r="H24" s="18">
        <v>2905.76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790348.98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5806.15-4257.5</f>
        <v>1548.6499999999996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17531.669999999998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3097040.93-3033164.83</f>
        <v>63876.100000000093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2033631.58</v>
      </c>
      <c r="G32" s="41">
        <f>SUM(G22:G31)</f>
        <v>23981.94</v>
      </c>
      <c r="H32" s="41">
        <f>SUM(H22:H31)</f>
        <v>100769.68999999999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39680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G476</f>
        <v>127951.61999999988</v>
      </c>
      <c r="H48" s="18">
        <v>0</v>
      </c>
      <c r="I48" s="18">
        <v>0</v>
      </c>
      <c r="J48" s="13">
        <f>SUM(I459)</f>
        <v>1546299.1099999999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1023729.3500000052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1063409.3500000052</v>
      </c>
      <c r="G51" s="41">
        <f>SUM(G35:G50)</f>
        <v>127951.61999999988</v>
      </c>
      <c r="H51" s="41">
        <f>SUM(H35:H50)</f>
        <v>0</v>
      </c>
      <c r="I51" s="41">
        <f>SUM(I35:I50)</f>
        <v>0</v>
      </c>
      <c r="J51" s="41">
        <f>SUM(J35:J50)</f>
        <v>1546299.1099999999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3097040.9300000053</v>
      </c>
      <c r="G52" s="41">
        <f>G51+G32</f>
        <v>151933.55999999988</v>
      </c>
      <c r="H52" s="41">
        <f>H51+H32</f>
        <v>100769.68999999999</v>
      </c>
      <c r="I52" s="41">
        <f>I51+I32</f>
        <v>0</v>
      </c>
      <c r="J52" s="41">
        <f>J51+J32</f>
        <v>1546299.1099999999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17887682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17887682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241653.6-199943+25654.82-14339.82</f>
        <v>53025.600000000013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4550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199943+703888.07+662583.7</f>
        <v>1566414.77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14339.82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1638330.1900000002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2281.1799999999998</v>
      </c>
      <c r="G96" s="18">
        <v>0</v>
      </c>
      <c r="H96" s="18">
        <v>0</v>
      </c>
      <c r="I96" s="18">
        <v>0</v>
      </c>
      <c r="J96" s="18">
        <f>H408</f>
        <v>37218.68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107741.56+181212.54+281239.83+5641.58-149.32</f>
        <v>575686.18999999994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28543.5+50</f>
        <v>28593.5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9680+7560</f>
        <v>17240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1001.19+728611.41+87381</f>
        <v>816993.6</v>
      </c>
      <c r="G110" s="18">
        <v>0</v>
      </c>
      <c r="H110" s="18">
        <v>0</v>
      </c>
      <c r="I110" s="18">
        <v>0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865108.28</v>
      </c>
      <c r="G111" s="41">
        <f>SUM(G96:G110)</f>
        <v>575686.18999999994</v>
      </c>
      <c r="H111" s="41">
        <f>SUM(H96:H110)</f>
        <v>0</v>
      </c>
      <c r="I111" s="41">
        <f>SUM(I96:I110)</f>
        <v>0</v>
      </c>
      <c r="J111" s="41">
        <f>SUM(J96:J110)</f>
        <v>37218.68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20391120.470000003</v>
      </c>
      <c r="G112" s="41">
        <f>G60+G111</f>
        <v>575686.18999999994</v>
      </c>
      <c r="H112" s="41">
        <f>H60+H79+H94+H111</f>
        <v>0</v>
      </c>
      <c r="I112" s="41">
        <f>I60+I111</f>
        <v>0</v>
      </c>
      <c r="J112" s="41">
        <f>J60+J111</f>
        <v>37218.68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3327740.56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2123841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5453463.540000001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309915.33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202956.53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8084.28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5379.13+21132.6</f>
        <v>26511.73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520956.14</v>
      </c>
      <c r="G136" s="41">
        <f>SUM(G123:G135)</f>
        <v>26511.73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5974419.6800000006</v>
      </c>
      <c r="G140" s="41">
        <f>G121+SUM(G136:G137)</f>
        <v>26511.73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16300.36+20815.15</f>
        <v>37115.51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31257.07+3361.5</f>
        <v>34618.57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79666.63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f>-50.19+257129.53</f>
        <v>257079.34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288068.53000000003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288068.53000000003</v>
      </c>
      <c r="G162" s="41">
        <f>SUM(G150:G161)</f>
        <v>79666.63</v>
      </c>
      <c r="H162" s="41">
        <f>SUM(H150:H161)</f>
        <v>328813.42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288068.53000000003</v>
      </c>
      <c r="G169" s="41">
        <f>G147+G162+SUM(G163:G168)</f>
        <v>79666.63</v>
      </c>
      <c r="H169" s="41">
        <f>H147+H162+SUM(H163:H168)</f>
        <v>328813.42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f>G388</f>
        <v>274510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274510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274510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26653608.680000003</v>
      </c>
      <c r="G193" s="47">
        <f>G112+G140+G169+G192</f>
        <v>681864.54999999993</v>
      </c>
      <c r="H193" s="47">
        <f>H112+H140+H169+H192</f>
        <v>328813.42</v>
      </c>
      <c r="I193" s="47">
        <f>I112+I140+I169+I192</f>
        <v>0</v>
      </c>
      <c r="J193" s="47">
        <f>J112+J140+J192</f>
        <v>311728.68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1808735.99+37848.19</f>
        <v>1846584.18</v>
      </c>
      <c r="G197" s="18">
        <f>31163.88+951540.79</f>
        <v>982704.67</v>
      </c>
      <c r="H197" s="18">
        <f>20246.47+7376.58</f>
        <v>27623.050000000003</v>
      </c>
      <c r="I197" s="18">
        <f>3419.91+634.3+1597.61+8199.44+407+3258.81+3301.35+1677.21+34646.97+692.01+18206.96+4762.22</f>
        <v>80803.790000000008</v>
      </c>
      <c r="J197" s="18">
        <f>550.37+244.75+16429.07</f>
        <v>17224.189999999999</v>
      </c>
      <c r="K197" s="18">
        <v>0</v>
      </c>
      <c r="L197" s="19">
        <f>SUM(F197:K197)</f>
        <v>2954939.88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347701.78+435921.18+9634.08+45118.58+65320</f>
        <v>903695.61999999988</v>
      </c>
      <c r="G198" s="18">
        <f>396017.3+17374.8</f>
        <v>413392.1</v>
      </c>
      <c r="H198" s="18">
        <f>-13.35+133513.63+15941.25+323.88+7987.7+1328.61</f>
        <v>159081.72</v>
      </c>
      <c r="I198" s="18">
        <f>562.02+1047.03+44.9+589.8+663.6</f>
        <v>2907.35</v>
      </c>
      <c r="J198" s="18">
        <f>661.34+2523.57</f>
        <v>3184.9100000000003</v>
      </c>
      <c r="K198" s="18">
        <v>0</v>
      </c>
      <c r="L198" s="19">
        <f>SUM(F198:K198)</f>
        <v>1482261.6999999997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5515</f>
        <v>5515</v>
      </c>
      <c r="G200" s="18">
        <f>1270.34</f>
        <v>1270.3399999999999</v>
      </c>
      <c r="H200" s="18">
        <v>0</v>
      </c>
      <c r="I200" s="18">
        <f>816+296.2</f>
        <v>1112.2</v>
      </c>
      <c r="J200" s="18">
        <v>0</v>
      </c>
      <c r="K200" s="18">
        <f>684</f>
        <v>684</v>
      </c>
      <c r="L200" s="19">
        <f>SUM(F200:K200)</f>
        <v>8581.5400000000009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66642+41224+19718.92+73739+192237.32+95954.5+116742.05</f>
        <v>606257.79</v>
      </c>
      <c r="G202" s="18">
        <f>31362.85+27427.78+42088.6+142584.66+67449.31</f>
        <v>310913.2</v>
      </c>
      <c r="H202" s="18">
        <f>9370.89+8333.33+100+538.74+1257.84+18586.16+47055.43</f>
        <v>85242.390000000014</v>
      </c>
      <c r="I202" s="18">
        <f>189.54+1549.66+92.57+1397.37+2260.91</f>
        <v>5490.0499999999993</v>
      </c>
      <c r="J202" s="18">
        <f>350+24.21+24.25+1520.63</f>
        <v>1919.0900000000001</v>
      </c>
      <c r="K202" s="18">
        <v>0</v>
      </c>
      <c r="L202" s="19">
        <f t="shared" ref="L202:L208" si="0">SUM(F202:K202)</f>
        <v>1009822.52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2500+72598+35949.8</f>
        <v>111047.8</v>
      </c>
      <c r="G203" s="18">
        <f>583+39260.88+16848.64</f>
        <v>56692.52</v>
      </c>
      <c r="H203" s="18">
        <f>2605.28+3887.39+3920.98+9164.81+1490+1157.2+6993.61+14856.43</f>
        <v>44075.7</v>
      </c>
      <c r="I203" s="18">
        <f>450.15+472.24+10260.61+5802.62+283.15</f>
        <v>17268.77</v>
      </c>
      <c r="J203" s="18">
        <f>900.18+73644.32</f>
        <v>74544.5</v>
      </c>
      <c r="K203" s="18">
        <v>0</v>
      </c>
      <c r="L203" s="19">
        <f t="shared" si="0"/>
        <v>303629.29000000004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5296.59+66.67+400</f>
        <v>5763.26</v>
      </c>
      <c r="G204" s="18">
        <f>318.75+30.6</f>
        <v>349.35</v>
      </c>
      <c r="H204" s="18">
        <f>4371.85+6986.93+4010+236124</f>
        <v>251492.78</v>
      </c>
      <c r="I204" s="18">
        <f>2449.37</f>
        <v>2449.37</v>
      </c>
      <c r="J204" s="18">
        <v>0</v>
      </c>
      <c r="K204" s="18">
        <f>23584.85+1857.83</f>
        <v>25442.68</v>
      </c>
      <c r="L204" s="19">
        <f t="shared" si="0"/>
        <v>285497.44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94400+81565.8+83307.48</f>
        <v>259273.27999999997</v>
      </c>
      <c r="G205" s="18">
        <v>107926.58</v>
      </c>
      <c r="H205" s="18">
        <f>3445.09+2683.07+2651.85</f>
        <v>8780.01</v>
      </c>
      <c r="I205" s="18">
        <f>139</f>
        <v>139</v>
      </c>
      <c r="J205" s="18">
        <f>44.99+339.9</f>
        <v>384.89</v>
      </c>
      <c r="K205" s="18">
        <f>1778</f>
        <v>1778</v>
      </c>
      <c r="L205" s="19">
        <f t="shared" si="0"/>
        <v>378281.76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116387.6+21143.82</f>
        <v>137531.42000000001</v>
      </c>
      <c r="G207" s="18">
        <f>78063.78+15942.44</f>
        <v>94006.22</v>
      </c>
      <c r="H207" s="18">
        <f>43+7723.42+6040.73+1773.19+1993.19+379.19+4415+14308.48+13604.56+8860.5+909+12603+10716</f>
        <v>83369.259999999995</v>
      </c>
      <c r="I207" s="18">
        <f>12766.33+30676.59+80381.36+620.59+249.64</f>
        <v>124694.51</v>
      </c>
      <c r="J207" s="18">
        <f>1207.25</f>
        <v>1207.25</v>
      </c>
      <c r="K207" s="18">
        <v>0</v>
      </c>
      <c r="L207" s="19">
        <f t="shared" si="0"/>
        <v>440808.66000000003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116999.72+19847.51+830.68+25057.5</f>
        <v>162735.41</v>
      </c>
      <c r="G208" s="18">
        <f>28016.22+2875.3+63.9+16473.88</f>
        <v>47429.3</v>
      </c>
      <c r="H208" s="18">
        <f>592.54+46753.89+29759.98</f>
        <v>77106.41</v>
      </c>
      <c r="I208" s="18">
        <f>1777.11+37354.97</f>
        <v>39132.080000000002</v>
      </c>
      <c r="J208" s="18">
        <f>49849.19</f>
        <v>49849.19</v>
      </c>
      <c r="K208" s="18">
        <f>2529.73</f>
        <v>2529.73</v>
      </c>
      <c r="L208" s="19">
        <f t="shared" si="0"/>
        <v>378782.12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4038403.7599999993</v>
      </c>
      <c r="G211" s="41">
        <f t="shared" si="1"/>
        <v>2014684.2800000003</v>
      </c>
      <c r="H211" s="41">
        <f t="shared" si="1"/>
        <v>736771.32000000007</v>
      </c>
      <c r="I211" s="41">
        <f t="shared" si="1"/>
        <v>273997.12</v>
      </c>
      <c r="J211" s="41">
        <f t="shared" si="1"/>
        <v>148314.02000000002</v>
      </c>
      <c r="K211" s="41">
        <f t="shared" si="1"/>
        <v>30434.41</v>
      </c>
      <c r="L211" s="41">
        <f t="shared" si="1"/>
        <v>7242604.9100000011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2210736.85+16685.02+45640.28</f>
        <v>2273062.15</v>
      </c>
      <c r="G215" s="18">
        <f>31163.88+1171303.95</f>
        <v>1202467.8299999998</v>
      </c>
      <c r="H215" s="18">
        <f>23880.94+6824.77</f>
        <v>30705.71</v>
      </c>
      <c r="I215" s="18">
        <f>3096.23+660.64+1726.58-6+323.46+1303.93+4429.51+5955.8+307.15+2384.73+3282.33+3528.66+10698.69+63.8+999.14+11688.94+19.99+2119.13+1030.2+2675.01+2015.73</f>
        <v>58303.65</v>
      </c>
      <c r="J215" s="18">
        <f>563.77+624.72+6922.37+5111.44+1053.37</f>
        <v>14275.669999999998</v>
      </c>
      <c r="K215" s="18">
        <f>1121</f>
        <v>1121</v>
      </c>
      <c r="L215" s="19">
        <f>SUM(F215:K215)</f>
        <v>3579936.0099999993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338391.49+349061.88+11617.52+54407.48+67508.85</f>
        <v>820987.22</v>
      </c>
      <c r="G216" s="18">
        <f>355915.01+17957.02</f>
        <v>373872.03</v>
      </c>
      <c r="H216" s="18">
        <f>-16.09+161001.07+229382.65+390.56+7987.7</f>
        <v>398745.89</v>
      </c>
      <c r="I216" s="18">
        <f>677.72+2240.05+445+1298.71+415.85</f>
        <v>5077.3300000000008</v>
      </c>
      <c r="J216" s="18">
        <f>797.49+4416+307.07</f>
        <v>5520.5599999999995</v>
      </c>
      <c r="K216" s="18">
        <v>0</v>
      </c>
      <c r="L216" s="19">
        <f>SUM(F216:K216)</f>
        <v>1604203.0300000003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28912.34+21102.17</f>
        <v>50014.509999999995</v>
      </c>
      <c r="G218" s="18">
        <f>6659.76+8433.16</f>
        <v>15092.92</v>
      </c>
      <c r="H218" s="18">
        <f>6439</f>
        <v>6439</v>
      </c>
      <c r="I218" s="18">
        <f>4189.24+2878.59</f>
        <v>7067.83</v>
      </c>
      <c r="J218" s="18">
        <f>924</f>
        <v>924</v>
      </c>
      <c r="K218" s="18">
        <f>2142.5+4931</f>
        <v>7073.5</v>
      </c>
      <c r="L218" s="19">
        <f>SUM(F218:K218)</f>
        <v>86611.76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114799+60237+9373+36790.46+37751.34+12907.59+58371.02</f>
        <v>330229.41000000003</v>
      </c>
      <c r="G220" s="18">
        <f>54026.34+30936.46+20999.19+25063.81+33724.66</f>
        <v>164750.46</v>
      </c>
      <c r="H220" s="18">
        <f>9370.89+8333.33+649.66+206.3+3048.33+23527.72</f>
        <v>45136.23</v>
      </c>
      <c r="I220" s="18">
        <f>344.38+1148.69+111.62+229.18+1130.45</f>
        <v>2964.32</v>
      </c>
      <c r="J220" s="18">
        <f>29.2+3.98+760.31</f>
        <v>793.4899999999999</v>
      </c>
      <c r="K220" s="18">
        <v>0</v>
      </c>
      <c r="L220" s="19">
        <f t="shared" ref="L220:L226" si="2">SUM(F220:K220)</f>
        <v>543873.90999999992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2500+67420+9496.09+42797.39</f>
        <v>122213.48</v>
      </c>
      <c r="G221" s="18">
        <f>583+36514.7+20057.91</f>
        <v>57155.61</v>
      </c>
      <c r="H221" s="18">
        <f>9573.46+3345+5559.01+1395.44+8433.44+17915.04</f>
        <v>46221.39</v>
      </c>
      <c r="I221" s="18">
        <f>259.55+729.32+5465.12+3431.39+507.77</f>
        <v>10393.15</v>
      </c>
      <c r="J221" s="18">
        <f>88806.03</f>
        <v>88806.03</v>
      </c>
      <c r="K221" s="18">
        <v>0</v>
      </c>
      <c r="L221" s="19">
        <f t="shared" si="2"/>
        <v>324789.65999999997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5296.59+66.67+400</f>
        <v>5763.26</v>
      </c>
      <c r="G222" s="18">
        <f>318.75+30.6</f>
        <v>349.35</v>
      </c>
      <c r="H222" s="18">
        <f>4371.85+6986.93+4010+236124</f>
        <v>251492.78</v>
      </c>
      <c r="I222" s="18">
        <f>2449.37</f>
        <v>2449.37</v>
      </c>
      <c r="J222" s="18">
        <v>0</v>
      </c>
      <c r="K222" s="18">
        <f>23584.85+1857.83</f>
        <v>25442.68</v>
      </c>
      <c r="L222" s="19">
        <f t="shared" si="2"/>
        <v>285497.44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102142.8+108383.47+83307.48</f>
        <v>293833.75</v>
      </c>
      <c r="G223" s="18">
        <v>122312.92</v>
      </c>
      <c r="H223" s="18">
        <f>9091.78+2649.86+2680.36+670.27+504.6+15.98</f>
        <v>15612.850000000002</v>
      </c>
      <c r="I223" s="18">
        <f>1122.5</f>
        <v>1122.5</v>
      </c>
      <c r="J223" s="18">
        <f>389.72</f>
        <v>389.72</v>
      </c>
      <c r="K223" s="18">
        <f>1200</f>
        <v>1200</v>
      </c>
      <c r="L223" s="19">
        <f t="shared" si="2"/>
        <v>434471.73999999993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109640.12+35225.91</f>
        <v>144866.03</v>
      </c>
      <c r="G225" s="18">
        <f>73538.09+26560.33</f>
        <v>100098.42</v>
      </c>
      <c r="H225" s="18">
        <f>43+10329.44+5959.43+2133.38+10696.04+2197.93+160.5+13178.4+32707.2+18561.78+21833.99+2726.99+21192.5+1385.25+800</f>
        <v>143905.83000000002</v>
      </c>
      <c r="I225" s="18">
        <f>15486.8+33333.56+109670.65+62.75+1861.78+748.91</f>
        <v>161164.45000000001</v>
      </c>
      <c r="J225" s="18">
        <f>3500</f>
        <v>3500</v>
      </c>
      <c r="K225" s="18">
        <v>0</v>
      </c>
      <c r="L225" s="19">
        <f t="shared" si="2"/>
        <v>553534.73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116999.72+19847.51+5399.45+5799.35+25057.5</f>
        <v>173103.53000000003</v>
      </c>
      <c r="G226" s="18">
        <f>28016.22+2875.3+415.34+429.6+16473.88</f>
        <v>48210.34</v>
      </c>
      <c r="H226" s="18">
        <f>592.54+46753.89+29759.98</f>
        <v>77106.41</v>
      </c>
      <c r="I226" s="18">
        <f>1777.11+37354.97</f>
        <v>39132.080000000002</v>
      </c>
      <c r="J226" s="18">
        <f>49849.19</f>
        <v>49849.19</v>
      </c>
      <c r="K226" s="18">
        <f>2529.73</f>
        <v>2529.73</v>
      </c>
      <c r="L226" s="19">
        <f t="shared" si="2"/>
        <v>389931.28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4214073.34</v>
      </c>
      <c r="G229" s="41">
        <f>SUM(G215:G228)</f>
        <v>2084309.88</v>
      </c>
      <c r="H229" s="41">
        <f>SUM(H215:H228)</f>
        <v>1015366.09</v>
      </c>
      <c r="I229" s="41">
        <f>SUM(I215:I228)</f>
        <v>287674.68</v>
      </c>
      <c r="J229" s="41">
        <f>SUM(J215:J228)</f>
        <v>164058.66</v>
      </c>
      <c r="K229" s="41">
        <f t="shared" si="3"/>
        <v>37366.910000000003</v>
      </c>
      <c r="L229" s="41">
        <f t="shared" si="3"/>
        <v>7802849.5599999996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2724923.43+10767.39+52672.54</f>
        <v>2788363.3600000003</v>
      </c>
      <c r="G233" s="18">
        <f>31163.88+1436837.54</f>
        <v>1468001.42</v>
      </c>
      <c r="H233" s="18">
        <f>990+28513.91+4153.19</f>
        <v>33657.1</v>
      </c>
      <c r="I233" s="18">
        <f>13452.51+352.9+5002.99+5388.68+8316.41+945.03+6512.43+13030.52+7408.48+27830.27+203.4+1837.34+2580.63+1000.14</f>
        <v>93861.73</v>
      </c>
      <c r="J233" s="18">
        <f>2972.1+15394.7+8971.62+4154.43</f>
        <v>31492.85</v>
      </c>
      <c r="K233" s="18">
        <f>5082</f>
        <v>5082</v>
      </c>
      <c r="L233" s="19">
        <f>SUM(F233:K233)</f>
        <v>4420458.46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351016.71+410497.78+13407.55+62790.59</f>
        <v>837712.63</v>
      </c>
      <c r="G234" s="18">
        <f>395704.12+0.02</f>
        <v>395704.14</v>
      </c>
      <c r="H234" s="18">
        <f>-18.57+185808.14+321331.22+450.74+7987.7</f>
        <v>515559.23</v>
      </c>
      <c r="I234" s="18">
        <f>782.15+8630.42+744.44</f>
        <v>10157.01</v>
      </c>
      <c r="J234" s="18">
        <f>920.37+4690.26</f>
        <v>5610.63</v>
      </c>
      <c r="K234" s="18">
        <v>0</v>
      </c>
      <c r="L234" s="19">
        <f>SUM(F234:K234)</f>
        <v>1764743.64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f>74776.06</f>
        <v>74776.06</v>
      </c>
      <c r="I235" s="18">
        <v>0</v>
      </c>
      <c r="J235" s="18">
        <v>0</v>
      </c>
      <c r="K235" s="18">
        <v>0</v>
      </c>
      <c r="L235" s="19">
        <f>SUM(F235:K235)</f>
        <v>74776.06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53206.5+64789.38+170470.93+8400</f>
        <v>296866.81</v>
      </c>
      <c r="G236" s="18">
        <f>12255.76+79127.45+1958.6</f>
        <v>93341.81</v>
      </c>
      <c r="H236" s="18">
        <f>3798.57+46834.73+3633.48+32037.23+724.32</f>
        <v>87028.330000000016</v>
      </c>
      <c r="I236" s="18">
        <f>6728.44+24097.03</f>
        <v>30825.469999999998</v>
      </c>
      <c r="J236" s="18">
        <f>1603.88+19800.83</f>
        <v>21404.710000000003</v>
      </c>
      <c r="K236" s="18">
        <f>4999.39+1200+6164.64</f>
        <v>12364.03</v>
      </c>
      <c r="L236" s="19">
        <f>SUM(F236:K236)</f>
        <v>541831.16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196626.81+42366+61571+36790.46+37751.34+12907.59</f>
        <v>388013.2</v>
      </c>
      <c r="G238" s="18">
        <f>112474.03+27710.45+0.01+20999.19+25063.8</f>
        <v>186247.48</v>
      </c>
      <c r="H238" s="18">
        <f>9370.9+8333.34+4889.6+8502+49+309+749.76+206.3+3048.33</f>
        <v>35458.229999999996</v>
      </c>
      <c r="I238" s="18">
        <f>3116.16+1000+1157+3202.18+2304.74+137.25+128.82+229.18</f>
        <v>11275.33</v>
      </c>
      <c r="J238" s="18">
        <f>359.92+33.69+3.98</f>
        <v>397.59000000000003</v>
      </c>
      <c r="K238" s="18">
        <f>485+150</f>
        <v>635</v>
      </c>
      <c r="L238" s="19">
        <f t="shared" ref="L238:L244" si="4">SUM(F238:K238)</f>
        <v>622026.82999999996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2500+70480+13478.43+92442.35</f>
        <v>178900.78</v>
      </c>
      <c r="G239" s="18">
        <f>583+47443.07+43325.07</f>
        <v>91351.14</v>
      </c>
      <c r="H239" s="18">
        <f>13058.6+9665.63+9847.8+1119+1610.45+9732.86+20675.39</f>
        <v>65709.73</v>
      </c>
      <c r="I239" s="18">
        <f>2851.62+3050.49+33042.49</f>
        <v>38944.6</v>
      </c>
      <c r="J239" s="18">
        <f>2323.83+2385.39+102489.27</f>
        <v>107198.49</v>
      </c>
      <c r="K239" s="18">
        <f>218</f>
        <v>218</v>
      </c>
      <c r="L239" s="19">
        <f t="shared" si="4"/>
        <v>482322.73999999993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5296.59+66.67+400</f>
        <v>5763.26</v>
      </c>
      <c r="G240" s="18">
        <f>318.75+30.6</f>
        <v>349.35</v>
      </c>
      <c r="H240" s="18">
        <f>4371.85+6986.93+4010+236124</f>
        <v>251492.78</v>
      </c>
      <c r="I240" s="18">
        <f>2449.37</f>
        <v>2449.37</v>
      </c>
      <c r="J240" s="18">
        <v>0</v>
      </c>
      <c r="K240" s="18">
        <f>23584.85+1857.83-0.01</f>
        <v>25442.670000000002</v>
      </c>
      <c r="L240" s="19">
        <f t="shared" si="4"/>
        <v>285497.43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103630.2+93973.27+84460.08</f>
        <v>282063.55</v>
      </c>
      <c r="G241" s="18">
        <f>0.01+117413.39</f>
        <v>117413.4</v>
      </c>
      <c r="H241" s="18">
        <f>3483.96+14240.86+2189.77+7150.42+1842.44</f>
        <v>28907.45</v>
      </c>
      <c r="I241" s="18">
        <f>2906.09</f>
        <v>2906.09</v>
      </c>
      <c r="J241" s="18">
        <f>375</f>
        <v>375</v>
      </c>
      <c r="K241" s="18">
        <f>2515.6+5856.89</f>
        <v>8372.49</v>
      </c>
      <c r="L241" s="19">
        <f t="shared" si="4"/>
        <v>440037.98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180398.28+121.44+100991.24</f>
        <v>281510.96000000002</v>
      </c>
      <c r="G243" s="18">
        <f>121078.64+76147.38</f>
        <v>197226.02000000002</v>
      </c>
      <c r="H243" s="18">
        <f>43+12895.16+8915.94+604.82+2809.1+19951.54+1409.53+53407.07+96607.91+30454.66+33655.53+14543.93+39336.82+3660.46+1229.31+4984</f>
        <v>324508.78000000003</v>
      </c>
      <c r="I243" s="18">
        <f>27691.88+107558.9+179938.67+80.16+9929.48+3994.2</f>
        <v>329193.28999999998</v>
      </c>
      <c r="J243" s="18">
        <f>1895</f>
        <v>1895</v>
      </c>
      <c r="K243" s="18">
        <v>0</v>
      </c>
      <c r="L243" s="19">
        <f t="shared" si="4"/>
        <v>1134334.05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15648+35999.91+19847.51+11214.24+16753.68+7710</f>
        <v>107173.34</v>
      </c>
      <c r="G244" s="18">
        <f>1197.07+8620.38+2875.3+862.63+1241.05+5068.89</f>
        <v>19865.32</v>
      </c>
      <c r="H244" s="18">
        <f>182.32+46753.89+9630.2+9156.92+300</f>
        <v>66023.33</v>
      </c>
      <c r="I244" s="18">
        <f>546.8+7.04+11493.84</f>
        <v>12047.68</v>
      </c>
      <c r="J244" s="18">
        <f>15338.21</f>
        <v>15338.21</v>
      </c>
      <c r="K244" s="18">
        <f>778.38</f>
        <v>778.38</v>
      </c>
      <c r="L244" s="19">
        <f t="shared" si="4"/>
        <v>221226.25999999998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5166367.8899999997</v>
      </c>
      <c r="G247" s="41">
        <f t="shared" si="5"/>
        <v>2569500.08</v>
      </c>
      <c r="H247" s="41">
        <f t="shared" si="5"/>
        <v>1483121.02</v>
      </c>
      <c r="I247" s="41">
        <f t="shared" si="5"/>
        <v>531660.56999999995</v>
      </c>
      <c r="J247" s="41">
        <f t="shared" si="5"/>
        <v>183712.48</v>
      </c>
      <c r="K247" s="41">
        <f t="shared" si="5"/>
        <v>52892.569999999992</v>
      </c>
      <c r="L247" s="41">
        <f t="shared" si="5"/>
        <v>9987254.6099999994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13418844.989999998</v>
      </c>
      <c r="G257" s="41">
        <f t="shared" si="8"/>
        <v>6668494.2400000002</v>
      </c>
      <c r="H257" s="41">
        <f t="shared" si="8"/>
        <v>3235258.43</v>
      </c>
      <c r="I257" s="41">
        <f t="shared" si="8"/>
        <v>1093332.3700000001</v>
      </c>
      <c r="J257" s="41">
        <f t="shared" si="8"/>
        <v>496085.16000000003</v>
      </c>
      <c r="K257" s="41">
        <f t="shared" si="8"/>
        <v>120693.89</v>
      </c>
      <c r="L257" s="41">
        <f t="shared" si="8"/>
        <v>25032709.079999998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1005000</v>
      </c>
      <c r="L260" s="19">
        <f>SUM(F260:K260)</f>
        <v>1005000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170931.25</v>
      </c>
      <c r="L261" s="19">
        <f>SUM(F261:K261)</f>
        <v>170931.25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274510</v>
      </c>
      <c r="L266" s="19">
        <f t="shared" si="9"/>
        <v>274510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1450441.25</v>
      </c>
      <c r="L270" s="41">
        <f t="shared" si="9"/>
        <v>1450441.25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13418844.989999998</v>
      </c>
      <c r="G271" s="42">
        <f t="shared" si="11"/>
        <v>6668494.2400000002</v>
      </c>
      <c r="H271" s="42">
        <f t="shared" si="11"/>
        <v>3235258.43</v>
      </c>
      <c r="I271" s="42">
        <f t="shared" si="11"/>
        <v>1093332.3700000001</v>
      </c>
      <c r="J271" s="42">
        <f t="shared" si="11"/>
        <v>496085.16000000003</v>
      </c>
      <c r="K271" s="42">
        <f t="shared" si="11"/>
        <v>1571135.14</v>
      </c>
      <c r="L271" s="42">
        <f t="shared" si="11"/>
        <v>26483150.329999998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9375+3200+625+19257+18750+18442.33+47706.88</f>
        <v>117356.20999999999</v>
      </c>
      <c r="G277" s="18">
        <f>1009.8+1847.93+1393.16+11568.18</f>
        <v>15819.07</v>
      </c>
      <c r="H277" s="18">
        <f>3666.59</f>
        <v>3666.59</v>
      </c>
      <c r="I277" s="18">
        <f>3246.63</f>
        <v>3246.63</v>
      </c>
      <c r="J277" s="18">
        <f>3952.7</f>
        <v>3952.7</v>
      </c>
      <c r="K277" s="18">
        <f>242.63-50.19+164.99+1423.79+0.04</f>
        <v>1781.26</v>
      </c>
      <c r="L277" s="19">
        <f>SUM(F277:K277)</f>
        <v>145822.46000000002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f>7460.23</f>
        <v>7460.23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7460.23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9573.33</f>
        <v>9573.33</v>
      </c>
      <c r="G282" s="18">
        <f>732.33</f>
        <v>732.33</v>
      </c>
      <c r="H282" s="18">
        <f>1120.5</f>
        <v>1120.5</v>
      </c>
      <c r="I282" s="18">
        <v>0</v>
      </c>
      <c r="J282" s="18">
        <v>0</v>
      </c>
      <c r="K282" s="18">
        <f>113.36</f>
        <v>113.36</v>
      </c>
      <c r="L282" s="19">
        <f t="shared" si="12"/>
        <v>11539.52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126929.54</v>
      </c>
      <c r="G290" s="42">
        <f t="shared" si="13"/>
        <v>16551.400000000001</v>
      </c>
      <c r="H290" s="42">
        <f t="shared" si="13"/>
        <v>12247.32</v>
      </c>
      <c r="I290" s="42">
        <f t="shared" si="13"/>
        <v>3246.63</v>
      </c>
      <c r="J290" s="42">
        <f t="shared" si="13"/>
        <v>3952.7</v>
      </c>
      <c r="K290" s="42">
        <f t="shared" si="13"/>
        <v>1894.62</v>
      </c>
      <c r="L290" s="41">
        <f t="shared" si="13"/>
        <v>164822.21000000002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5183.75+18442.33+35799</f>
        <v>59425.08</v>
      </c>
      <c r="G296" s="18">
        <f>2328.9</f>
        <v>2328.9</v>
      </c>
      <c r="H296" s="18">
        <f>3666.59</f>
        <v>3666.59</v>
      </c>
      <c r="I296" s="18">
        <f>3246.63</f>
        <v>3246.63</v>
      </c>
      <c r="J296" s="18">
        <f>3952.7</f>
        <v>3952.7</v>
      </c>
      <c r="K296" s="18">
        <v>711.62</v>
      </c>
      <c r="L296" s="19">
        <f>SUM(F296:K296)</f>
        <v>73331.520000000004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9573.33</f>
        <v>9573.33</v>
      </c>
      <c r="G301" s="18">
        <f>732.33</f>
        <v>732.33</v>
      </c>
      <c r="H301" s="18">
        <f>1120.5</f>
        <v>1120.5</v>
      </c>
      <c r="I301" s="18">
        <v>0</v>
      </c>
      <c r="J301" s="18">
        <v>0</v>
      </c>
      <c r="K301" s="18">
        <f>113.36</f>
        <v>113.36</v>
      </c>
      <c r="L301" s="19">
        <f t="shared" si="14"/>
        <v>11539.52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68998.41</v>
      </c>
      <c r="G309" s="42">
        <f t="shared" si="15"/>
        <v>3061.23</v>
      </c>
      <c r="H309" s="42">
        <f t="shared" si="15"/>
        <v>4787.09</v>
      </c>
      <c r="I309" s="42">
        <f t="shared" si="15"/>
        <v>3246.63</v>
      </c>
      <c r="J309" s="42">
        <f t="shared" si="15"/>
        <v>3952.7</v>
      </c>
      <c r="K309" s="42">
        <f t="shared" si="15"/>
        <v>824.98</v>
      </c>
      <c r="L309" s="41">
        <f t="shared" si="15"/>
        <v>84871.040000000008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18442.33+35799</f>
        <v>54241.33</v>
      </c>
      <c r="G315" s="18">
        <f>1817.92</f>
        <v>1817.92</v>
      </c>
      <c r="H315" s="18">
        <f>3666.59</f>
        <v>3666.59</v>
      </c>
      <c r="I315" s="18">
        <f>3246.63</f>
        <v>3246.63</v>
      </c>
      <c r="J315" s="18">
        <f>3952.7</f>
        <v>3952.7</v>
      </c>
      <c r="K315" s="18">
        <v>655.47</v>
      </c>
      <c r="L315" s="19">
        <f>SUM(F315:K315)</f>
        <v>67580.639999999999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9573.34</f>
        <v>9573.34</v>
      </c>
      <c r="G320" s="18">
        <f>732.33</f>
        <v>732.33</v>
      </c>
      <c r="H320" s="18">
        <f>1120.5</f>
        <v>1120.5</v>
      </c>
      <c r="I320" s="18">
        <v>0</v>
      </c>
      <c r="J320" s="18">
        <v>0</v>
      </c>
      <c r="K320" s="18">
        <f>113.36</f>
        <v>113.36</v>
      </c>
      <c r="L320" s="19">
        <f t="shared" si="16"/>
        <v>11539.53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63814.67</v>
      </c>
      <c r="G328" s="42">
        <f t="shared" si="17"/>
        <v>2550.25</v>
      </c>
      <c r="H328" s="42">
        <f t="shared" si="17"/>
        <v>4787.09</v>
      </c>
      <c r="I328" s="42">
        <f t="shared" si="17"/>
        <v>3246.63</v>
      </c>
      <c r="J328" s="42">
        <f t="shared" si="17"/>
        <v>3952.7</v>
      </c>
      <c r="K328" s="42">
        <f t="shared" si="17"/>
        <v>768.83</v>
      </c>
      <c r="L328" s="41">
        <f t="shared" si="17"/>
        <v>79120.17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259742.62</v>
      </c>
      <c r="G338" s="41">
        <f t="shared" si="20"/>
        <v>22162.880000000001</v>
      </c>
      <c r="H338" s="41">
        <f t="shared" si="20"/>
        <v>21821.5</v>
      </c>
      <c r="I338" s="41">
        <f t="shared" si="20"/>
        <v>9739.89</v>
      </c>
      <c r="J338" s="41">
        <f t="shared" si="20"/>
        <v>11858.099999999999</v>
      </c>
      <c r="K338" s="41">
        <f t="shared" si="20"/>
        <v>3488.43</v>
      </c>
      <c r="L338" s="41">
        <f t="shared" si="20"/>
        <v>328813.42000000004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259742.62</v>
      </c>
      <c r="G352" s="41">
        <f>G338</f>
        <v>22162.880000000001</v>
      </c>
      <c r="H352" s="41">
        <f>H338</f>
        <v>21821.5</v>
      </c>
      <c r="I352" s="41">
        <f>I338</f>
        <v>9739.89</v>
      </c>
      <c r="J352" s="41">
        <f>J338</f>
        <v>11858.099999999999</v>
      </c>
      <c r="K352" s="47">
        <f>K338+K351</f>
        <v>3488.43</v>
      </c>
      <c r="L352" s="41">
        <f>L338+L351</f>
        <v>328813.42000000004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36626.78</v>
      </c>
      <c r="G358" s="18">
        <v>22250.959999999999</v>
      </c>
      <c r="H358" s="18">
        <v>1950.54</v>
      </c>
      <c r="I358" s="18">
        <v>50366.85</v>
      </c>
      <c r="J358" s="18">
        <v>1401.1</v>
      </c>
      <c r="K358" s="18">
        <v>85.03</v>
      </c>
      <c r="L358" s="13">
        <f>SUM(F358:K358)</f>
        <v>112681.26000000001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61603.26</v>
      </c>
      <c r="G359" s="18">
        <v>37424.300000000003</v>
      </c>
      <c r="H359" s="18">
        <v>3280.65</v>
      </c>
      <c r="I359" s="18">
        <v>84712.95</v>
      </c>
      <c r="J359" s="18">
        <v>2356.54</v>
      </c>
      <c r="K359" s="18">
        <v>143.01</v>
      </c>
      <c r="L359" s="19">
        <f>SUM(F359:K359)</f>
        <v>189520.71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95607.58</v>
      </c>
      <c r="G360" s="18">
        <f>58082.1-0.01</f>
        <v>58082.09</v>
      </c>
      <c r="H360" s="18">
        <v>5091.53</v>
      </c>
      <c r="I360" s="18">
        <v>131473.54</v>
      </c>
      <c r="J360" s="18">
        <v>3657.32</v>
      </c>
      <c r="K360" s="18">
        <v>221.96</v>
      </c>
      <c r="L360" s="19">
        <f>SUM(F360:K360)</f>
        <v>294134.02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193837.62</v>
      </c>
      <c r="G362" s="47">
        <f t="shared" si="22"/>
        <v>117757.35</v>
      </c>
      <c r="H362" s="47">
        <f t="shared" si="22"/>
        <v>10322.720000000001</v>
      </c>
      <c r="I362" s="47">
        <f t="shared" si="22"/>
        <v>266553.33999999997</v>
      </c>
      <c r="J362" s="47">
        <f t="shared" si="22"/>
        <v>7414.96</v>
      </c>
      <c r="K362" s="47">
        <f t="shared" si="22"/>
        <v>450</v>
      </c>
      <c r="L362" s="47">
        <f t="shared" si="22"/>
        <v>596335.99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50366.85-3244.21</f>
        <v>47122.64</v>
      </c>
      <c r="G367" s="18">
        <f>84712.95-5456.5</f>
        <v>79256.45</v>
      </c>
      <c r="H367" s="18">
        <f>131473.54-8468.43</f>
        <v>123005.11000000002</v>
      </c>
      <c r="I367" s="56">
        <f>SUM(F367:H367)</f>
        <v>249384.2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3244.21</v>
      </c>
      <c r="G368" s="63">
        <v>5456.5</v>
      </c>
      <c r="H368" s="63">
        <v>8468.43</v>
      </c>
      <c r="I368" s="56">
        <f>SUM(F368:H368)</f>
        <v>17169.14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50366.85</v>
      </c>
      <c r="G369" s="47">
        <f>SUM(G367:G368)</f>
        <v>84712.95</v>
      </c>
      <c r="H369" s="47">
        <f>SUM(H367:H368)</f>
        <v>131473.54</v>
      </c>
      <c r="I369" s="47">
        <f>SUM(I367:I368)</f>
        <v>266553.34000000003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f>250000+24510</f>
        <v>274510</v>
      </c>
      <c r="H388" s="18">
        <f>37218.68-4140.4</f>
        <v>33078.28</v>
      </c>
      <c r="I388" s="18">
        <v>0</v>
      </c>
      <c r="J388" s="24" t="s">
        <v>289</v>
      </c>
      <c r="K388" s="24" t="s">
        <v>289</v>
      </c>
      <c r="L388" s="56">
        <f t="shared" si="25"/>
        <v>307588.28000000003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274510</v>
      </c>
      <c r="H393" s="139">
        <f>SUM(H387:H392)</f>
        <v>33078.28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307588.28000000003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f>-772.12+5737.94-825.42</f>
        <v>4140.3999999999996</v>
      </c>
      <c r="I397" s="18">
        <v>0</v>
      </c>
      <c r="J397" s="24" t="s">
        <v>289</v>
      </c>
      <c r="K397" s="24" t="s">
        <v>289</v>
      </c>
      <c r="L397" s="56">
        <f t="shared" si="26"/>
        <v>4140.3999999999996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4140.3999999999996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4140.3999999999996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274510</v>
      </c>
      <c r="H408" s="47">
        <f>H393+H401+H407</f>
        <v>37218.68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311728.68000000005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490808.72+8598.64+517711.77+143479.25+24780.06</f>
        <v>1185378.44</v>
      </c>
      <c r="G440" s="18">
        <v>360920.67</v>
      </c>
      <c r="H440" s="18">
        <v>0</v>
      </c>
      <c r="I440" s="56">
        <f t="shared" si="33"/>
        <v>1546299.1099999999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1185378.44</v>
      </c>
      <c r="G446" s="13">
        <f>SUM(G439:G445)</f>
        <v>360920.67</v>
      </c>
      <c r="H446" s="13">
        <f>SUM(H439:H445)</f>
        <v>0</v>
      </c>
      <c r="I446" s="13">
        <f>SUM(I439:I445)</f>
        <v>1546299.1099999999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1185378.44</v>
      </c>
      <c r="G459" s="18">
        <f>G440</f>
        <v>360920.67</v>
      </c>
      <c r="H459" s="18">
        <v>0</v>
      </c>
      <c r="I459" s="56">
        <f t="shared" si="34"/>
        <v>1546299.1099999999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1185378.44</v>
      </c>
      <c r="G460" s="83">
        <f>SUM(G454:G459)</f>
        <v>360920.67</v>
      </c>
      <c r="H460" s="83">
        <f>SUM(H454:H459)</f>
        <v>0</v>
      </c>
      <c r="I460" s="83">
        <f>SUM(I454:I459)</f>
        <v>1546299.1099999999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1185378.44</v>
      </c>
      <c r="G461" s="42">
        <f>G452+G460</f>
        <v>360920.67</v>
      </c>
      <c r="H461" s="42">
        <f>H452+H460</f>
        <v>0</v>
      </c>
      <c r="I461" s="42">
        <f>I452+I460</f>
        <v>1546299.1099999999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892951</v>
      </c>
      <c r="G465" s="18">
        <v>47611.37</v>
      </c>
      <c r="H465" s="18">
        <v>0</v>
      </c>
      <c r="I465" s="18">
        <v>0</v>
      </c>
      <c r="J465" s="18">
        <v>1234570.43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26653608.680000003</v>
      </c>
      <c r="G468" s="18">
        <f>G193</f>
        <v>681864.54999999993</v>
      </c>
      <c r="H468" s="18">
        <f>H193</f>
        <v>328813.42</v>
      </c>
      <c r="I468" s="18">
        <v>0</v>
      </c>
      <c r="J468" s="18">
        <f>L408</f>
        <v>311728.68000000005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26653608.680000003</v>
      </c>
      <c r="G470" s="53">
        <f>SUM(G468:G469)</f>
        <v>681864.54999999993</v>
      </c>
      <c r="H470" s="53">
        <f>SUM(H468:H469)</f>
        <v>328813.42</v>
      </c>
      <c r="I470" s="53">
        <f>SUM(I468:I469)</f>
        <v>0</v>
      </c>
      <c r="J470" s="53">
        <f>SUM(J468:J469)</f>
        <v>311728.68000000005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26483150.329999998</v>
      </c>
      <c r="G472" s="18">
        <f>L362</f>
        <v>596335.99</v>
      </c>
      <c r="H472" s="18">
        <f>L352</f>
        <v>328813.42000000004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5188.3100000000004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26483150.329999998</v>
      </c>
      <c r="G474" s="53">
        <f>SUM(G472:G473)</f>
        <v>601524.30000000005</v>
      </c>
      <c r="H474" s="53">
        <f>SUM(H472:H473)</f>
        <v>328813.42000000004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1063409.3500000052</v>
      </c>
      <c r="G476" s="53">
        <f>(G465+G470)- G474</f>
        <v>127951.61999999988</v>
      </c>
      <c r="H476" s="53">
        <f>(H465+H470)- H474</f>
        <v>0</v>
      </c>
      <c r="I476" s="53">
        <f>(I465+I470)- I474</f>
        <v>0</v>
      </c>
      <c r="J476" s="53">
        <f>(J465+J470)- J474</f>
        <v>1546299.1099999999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 t="s">
        <v>917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16157528</v>
      </c>
      <c r="G493" s="18">
        <v>4027000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</v>
      </c>
      <c r="G494" s="18">
        <v>4.4000000000000004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1610000</v>
      </c>
      <c r="G495" s="18">
        <v>2400000</v>
      </c>
      <c r="H495" s="18"/>
      <c r="I495" s="18"/>
      <c r="J495" s="18"/>
      <c r="K495" s="53">
        <f>SUM(F495:J495)</f>
        <v>4010000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805000</v>
      </c>
      <c r="G497" s="18">
        <v>200000</v>
      </c>
      <c r="H497" s="18"/>
      <c r="I497" s="18"/>
      <c r="J497" s="18"/>
      <c r="K497" s="53">
        <f t="shared" si="35"/>
        <v>1005000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805000</v>
      </c>
      <c r="G498" s="204">
        <v>2200000</v>
      </c>
      <c r="H498" s="204"/>
      <c r="I498" s="204"/>
      <c r="J498" s="204"/>
      <c r="K498" s="205">
        <f t="shared" si="35"/>
        <v>3005000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23143.75</v>
      </c>
      <c r="G499" s="18">
        <f>953161-101500</f>
        <v>851661</v>
      </c>
      <c r="H499" s="18"/>
      <c r="I499" s="18"/>
      <c r="J499" s="18"/>
      <c r="K499" s="53">
        <f t="shared" si="35"/>
        <v>874804.75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828143.75</v>
      </c>
      <c r="G500" s="42">
        <f>SUM(G498:G499)</f>
        <v>3051661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3879804.75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805000</v>
      </c>
      <c r="G501" s="204">
        <v>200000</v>
      </c>
      <c r="H501" s="204"/>
      <c r="I501" s="204"/>
      <c r="J501" s="204"/>
      <c r="K501" s="205">
        <f t="shared" si="35"/>
        <v>1005000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23143.75</v>
      </c>
      <c r="G502" s="18">
        <f>48600+44300</f>
        <v>92900</v>
      </c>
      <c r="H502" s="18"/>
      <c r="I502" s="18"/>
      <c r="J502" s="18"/>
      <c r="K502" s="53">
        <f t="shared" si="35"/>
        <v>116043.75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828143.75</v>
      </c>
      <c r="G503" s="42">
        <f>SUM(G501:G502)</f>
        <v>292900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1121043.75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F198+F277-F557-F562-F567</f>
        <v>923274.82999999984</v>
      </c>
      <c r="G521" s="18">
        <f t="shared" ref="G521:K521" si="36">G198+G277-G557-G562-G567</f>
        <v>407585.48</v>
      </c>
      <c r="H521" s="18">
        <f t="shared" si="36"/>
        <v>154760.60999999999</v>
      </c>
      <c r="I521" s="18">
        <f t="shared" si="36"/>
        <v>5490.3799999999992</v>
      </c>
      <c r="J521" s="18">
        <f t="shared" si="36"/>
        <v>7137.6100000000006</v>
      </c>
      <c r="K521" s="18">
        <f t="shared" si="36"/>
        <v>1373.6399999999999</v>
      </c>
      <c r="L521" s="88">
        <f>SUM(F521:K521)</f>
        <v>1499622.5499999998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F216+F296-F558-F563-F568</f>
        <v>812903.45</v>
      </c>
      <c r="G522" s="18">
        <f t="shared" ref="G522:K522" si="37">G216+G296-G558-G563-G568</f>
        <v>358243.91000000003</v>
      </c>
      <c r="H522" s="18">
        <f t="shared" si="37"/>
        <v>394424.78</v>
      </c>
      <c r="I522" s="18">
        <f t="shared" si="37"/>
        <v>6609.4000000000015</v>
      </c>
      <c r="J522" s="18">
        <f t="shared" si="37"/>
        <v>9166.1899999999987</v>
      </c>
      <c r="K522" s="18">
        <f t="shared" si="37"/>
        <v>711.62</v>
      </c>
      <c r="L522" s="88">
        <f>SUM(F522:K522)</f>
        <v>1582059.3499999999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F234+F315-F559-F564-F569</f>
        <v>891953.96</v>
      </c>
      <c r="G523" s="18">
        <f t="shared" ref="G523:K523" si="38">G234+G315-G559-G564-G569</f>
        <v>397522.06</v>
      </c>
      <c r="H523" s="18">
        <f t="shared" si="38"/>
        <v>511238.12</v>
      </c>
      <c r="I523" s="18">
        <f t="shared" si="38"/>
        <v>13403.64</v>
      </c>
      <c r="J523" s="18">
        <f t="shared" si="38"/>
        <v>9563.33</v>
      </c>
      <c r="K523" s="18">
        <f t="shared" si="38"/>
        <v>655.47</v>
      </c>
      <c r="L523" s="88">
        <f>SUM(F523:K523)</f>
        <v>1824336.58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2628132.2399999998</v>
      </c>
      <c r="G524" s="108">
        <f t="shared" ref="G524:L524" si="39">SUM(G521:G523)</f>
        <v>1163351.45</v>
      </c>
      <c r="H524" s="108">
        <f t="shared" si="39"/>
        <v>1060423.51</v>
      </c>
      <c r="I524" s="108">
        <f t="shared" si="39"/>
        <v>25503.42</v>
      </c>
      <c r="J524" s="108">
        <f t="shared" si="39"/>
        <v>25867.129999999997</v>
      </c>
      <c r="K524" s="108">
        <f t="shared" si="39"/>
        <v>2740.7299999999996</v>
      </c>
      <c r="L524" s="89">
        <f t="shared" si="39"/>
        <v>4906018.4799999995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73739+192237.32+95954.5+116742.05</f>
        <v>478672.87</v>
      </c>
      <c r="G526" s="18">
        <f>42088.6+142584.66+67449.31</f>
        <v>252122.57</v>
      </c>
      <c r="H526" s="18">
        <f>538.74+1257.84+18586.16+47055.43</f>
        <v>67438.17</v>
      </c>
      <c r="I526" s="18">
        <f>24.21+1397.37+2260.91</f>
        <v>3682.49</v>
      </c>
      <c r="J526" s="18">
        <f>24.25+1520.63</f>
        <v>1544.88</v>
      </c>
      <c r="K526" s="18">
        <v>0</v>
      </c>
      <c r="L526" s="88">
        <f>SUM(F526:K526)</f>
        <v>803460.98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36790.46+37751.34+12907.59+58371.02</f>
        <v>145820.40999999997</v>
      </c>
      <c r="G527" s="18">
        <f>20999.19+25063.81+33724.66</f>
        <v>79787.66</v>
      </c>
      <c r="H527" s="18">
        <f>649.66+206.3+3048.33+23572.72</f>
        <v>27477.010000000002</v>
      </c>
      <c r="I527" s="18">
        <f>29.2+229.18+1130.45</f>
        <v>1388.83</v>
      </c>
      <c r="J527" s="18">
        <f>3.98+760.31</f>
        <v>764.29</v>
      </c>
      <c r="K527" s="18">
        <v>0</v>
      </c>
      <c r="L527" s="88">
        <f>SUM(F527:K527)</f>
        <v>255238.19999999998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36790.46+37751.34+12907.59</f>
        <v>87449.389999999985</v>
      </c>
      <c r="G528" s="18">
        <f>20999.19+25063.81</f>
        <v>46063</v>
      </c>
      <c r="H528" s="18">
        <f>749.76+206.3+3048.33</f>
        <v>4004.39</v>
      </c>
      <c r="I528" s="18">
        <f>33.69+229.18</f>
        <v>262.87</v>
      </c>
      <c r="J528" s="18">
        <f>3.98</f>
        <v>3.98</v>
      </c>
      <c r="K528" s="18">
        <v>0</v>
      </c>
      <c r="L528" s="88">
        <f>SUM(F528:K528)</f>
        <v>137783.63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711942.67</v>
      </c>
      <c r="G529" s="89">
        <f t="shared" ref="G529:L529" si="40">SUM(G526:G528)</f>
        <v>377973.23</v>
      </c>
      <c r="H529" s="89">
        <f t="shared" si="40"/>
        <v>98919.569999999992</v>
      </c>
      <c r="I529" s="89">
        <f t="shared" si="40"/>
        <v>5334.19</v>
      </c>
      <c r="J529" s="89">
        <f t="shared" si="40"/>
        <v>2313.15</v>
      </c>
      <c r="K529" s="89">
        <f t="shared" si="40"/>
        <v>0</v>
      </c>
      <c r="L529" s="89">
        <f t="shared" si="40"/>
        <v>1196482.81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0</v>
      </c>
      <c r="G531" s="18">
        <v>0</v>
      </c>
      <c r="H531" s="18">
        <v>38819.93</v>
      </c>
      <c r="I531" s="18">
        <v>0</v>
      </c>
      <c r="J531" s="18">
        <v>0</v>
      </c>
      <c r="K531" s="18">
        <v>0</v>
      </c>
      <c r="L531" s="88">
        <f>SUM(F531:K531)</f>
        <v>38819.93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38819.93</v>
      </c>
      <c r="I532" s="18">
        <v>0</v>
      </c>
      <c r="J532" s="18">
        <v>0</v>
      </c>
      <c r="K532" s="18">
        <v>0</v>
      </c>
      <c r="L532" s="88">
        <f>SUM(F532:K532)</f>
        <v>38819.93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38819.93</v>
      </c>
      <c r="I533" s="18">
        <v>0</v>
      </c>
      <c r="J533" s="18">
        <v>0</v>
      </c>
      <c r="K533" s="18">
        <v>0</v>
      </c>
      <c r="L533" s="88">
        <f>SUM(F533:K533)</f>
        <v>38819.93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41">SUM(G531:G533)</f>
        <v>0</v>
      </c>
      <c r="H534" s="89">
        <f t="shared" si="41"/>
        <v>116459.79000000001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116459.79000000001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19847.509999999998</v>
      </c>
      <c r="G541" s="18">
        <v>2875.3</v>
      </c>
      <c r="H541" s="18">
        <v>46753.89</v>
      </c>
      <c r="I541" s="18">
        <v>0</v>
      </c>
      <c r="J541" s="18">
        <v>0</v>
      </c>
      <c r="K541" s="18">
        <v>0</v>
      </c>
      <c r="L541" s="88">
        <f>SUM(F541:K541)</f>
        <v>69476.7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19847.509999999998</v>
      </c>
      <c r="G542" s="18">
        <v>2875.3</v>
      </c>
      <c r="H542" s="18">
        <v>46753.89</v>
      </c>
      <c r="I542" s="18">
        <v>0</v>
      </c>
      <c r="J542" s="18">
        <v>0</v>
      </c>
      <c r="K542" s="18">
        <v>0</v>
      </c>
      <c r="L542" s="88">
        <f>SUM(F542:K542)</f>
        <v>69476.7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19847.52</v>
      </c>
      <c r="G543" s="18">
        <v>2875.3</v>
      </c>
      <c r="H543" s="18">
        <v>46753.89</v>
      </c>
      <c r="I543" s="18">
        <v>0</v>
      </c>
      <c r="J543" s="18">
        <v>0</v>
      </c>
      <c r="K543" s="18">
        <v>0</v>
      </c>
      <c r="L543" s="88">
        <f>SUM(F543:K543)</f>
        <v>69476.709999999992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59542.539999999994</v>
      </c>
      <c r="G544" s="193">
        <f t="shared" ref="G544:L544" si="43">SUM(G541:G543)</f>
        <v>8625.9000000000015</v>
      </c>
      <c r="H544" s="193">
        <f t="shared" si="43"/>
        <v>140261.66999999998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208430.11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3399617.4499999997</v>
      </c>
      <c r="G545" s="89">
        <f t="shared" ref="G545:L545" si="44">G524+G529+G534+G539+G544</f>
        <v>1549950.5799999998</v>
      </c>
      <c r="H545" s="89">
        <f t="shared" si="44"/>
        <v>1416064.54</v>
      </c>
      <c r="I545" s="89">
        <f t="shared" si="44"/>
        <v>30837.609999999997</v>
      </c>
      <c r="J545" s="89">
        <f t="shared" si="44"/>
        <v>28180.28</v>
      </c>
      <c r="K545" s="89">
        <f t="shared" si="44"/>
        <v>2740.7299999999996</v>
      </c>
      <c r="L545" s="89">
        <f t="shared" si="44"/>
        <v>6427391.1899999995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1499622.5499999998</v>
      </c>
      <c r="G549" s="87">
        <f>L526</f>
        <v>803460.98</v>
      </c>
      <c r="H549" s="87">
        <f>L531</f>
        <v>38819.93</v>
      </c>
      <c r="I549" s="87">
        <f>L536</f>
        <v>0</v>
      </c>
      <c r="J549" s="87">
        <f>L541</f>
        <v>69476.7</v>
      </c>
      <c r="K549" s="87">
        <f>SUM(F549:J549)</f>
        <v>2411380.16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1582059.3499999999</v>
      </c>
      <c r="G550" s="87">
        <f>L527</f>
        <v>255238.19999999998</v>
      </c>
      <c r="H550" s="87">
        <f>L532</f>
        <v>38819.93</v>
      </c>
      <c r="I550" s="87">
        <f>L537</f>
        <v>0</v>
      </c>
      <c r="J550" s="87">
        <f>L542</f>
        <v>69476.7</v>
      </c>
      <c r="K550" s="87">
        <f>SUM(F550:J550)</f>
        <v>1945594.1799999997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1824336.58</v>
      </c>
      <c r="G551" s="87">
        <f>L528</f>
        <v>137783.63</v>
      </c>
      <c r="H551" s="87">
        <f>L533</f>
        <v>38819.93</v>
      </c>
      <c r="I551" s="87">
        <f>L538</f>
        <v>0</v>
      </c>
      <c r="J551" s="87">
        <f>L543</f>
        <v>69476.709999999992</v>
      </c>
      <c r="K551" s="87">
        <f>SUM(F551:J551)</f>
        <v>2070416.8499999999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4906018.4799999995</v>
      </c>
      <c r="G552" s="89">
        <f t="shared" si="45"/>
        <v>1196482.81</v>
      </c>
      <c r="H552" s="89">
        <f t="shared" si="45"/>
        <v>116459.79000000001</v>
      </c>
      <c r="I552" s="89">
        <f t="shared" si="45"/>
        <v>0</v>
      </c>
      <c r="J552" s="89">
        <f t="shared" si="45"/>
        <v>208430.11</v>
      </c>
      <c r="K552" s="89">
        <f t="shared" si="45"/>
        <v>6427391.1899999995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9375+3200+625+19257</f>
        <v>32457</v>
      </c>
      <c r="G557" s="18">
        <f>1009.8+1847.93+1393.16</f>
        <v>4250.8900000000003</v>
      </c>
      <c r="H557" s="18">
        <v>0</v>
      </c>
      <c r="I557" s="18">
        <v>0</v>
      </c>
      <c r="J557" s="18">
        <v>0</v>
      </c>
      <c r="K557" s="18">
        <f>242.63+164.99</f>
        <v>407.62</v>
      </c>
      <c r="L557" s="88">
        <f>SUM(F557:K557)</f>
        <v>37115.51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32457</v>
      </c>
      <c r="G560" s="108">
        <f t="shared" si="46"/>
        <v>4250.8900000000003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407.62</v>
      </c>
      <c r="L560" s="89">
        <f t="shared" si="46"/>
        <v>37115.51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7987.7</v>
      </c>
      <c r="I562" s="18">
        <v>0</v>
      </c>
      <c r="J562" s="18">
        <v>0</v>
      </c>
      <c r="K562" s="18">
        <v>0</v>
      </c>
      <c r="L562" s="88">
        <f>SUM(F562:K562)</f>
        <v>7987.7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7987.7</v>
      </c>
      <c r="I563" s="18">
        <v>0</v>
      </c>
      <c r="J563" s="18">
        <v>0</v>
      </c>
      <c r="K563" s="18">
        <v>0</v>
      </c>
      <c r="L563" s="88">
        <f>SUM(F563:K563)</f>
        <v>7987.7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7987.7</v>
      </c>
      <c r="I564" s="18">
        <v>0</v>
      </c>
      <c r="J564" s="18">
        <v>0</v>
      </c>
      <c r="K564" s="18">
        <v>0</v>
      </c>
      <c r="L564" s="88">
        <f>SUM(F564:K564)</f>
        <v>7987.7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23963.1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23963.1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65320</v>
      </c>
      <c r="G567" s="18">
        <v>17374.8</v>
      </c>
      <c r="H567" s="18">
        <v>0</v>
      </c>
      <c r="I567" s="18">
        <f>663.6</f>
        <v>663.6</v>
      </c>
      <c r="J567" s="18">
        <v>0</v>
      </c>
      <c r="K567" s="18">
        <v>0</v>
      </c>
      <c r="L567" s="88">
        <f>SUM(F567:K567)</f>
        <v>83358.400000000009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67508.850000000006</v>
      </c>
      <c r="G568" s="18">
        <v>17957.02</v>
      </c>
      <c r="H568" s="18">
        <v>0</v>
      </c>
      <c r="I568" s="18">
        <f>1298.71+415.85</f>
        <v>1714.56</v>
      </c>
      <c r="J568" s="18">
        <f>307.07</f>
        <v>307.07</v>
      </c>
      <c r="K568" s="18">
        <v>0</v>
      </c>
      <c r="L568" s="88">
        <f>SUM(F568:K568)</f>
        <v>87487.500000000015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132828.85</v>
      </c>
      <c r="G570" s="193">
        <f t="shared" ref="G570:L570" si="48">SUM(G567:G569)</f>
        <v>35331.82</v>
      </c>
      <c r="H570" s="193">
        <f t="shared" si="48"/>
        <v>0</v>
      </c>
      <c r="I570" s="193">
        <f t="shared" si="48"/>
        <v>2378.16</v>
      </c>
      <c r="J570" s="193">
        <f t="shared" si="48"/>
        <v>307.07</v>
      </c>
      <c r="K570" s="193">
        <f t="shared" si="48"/>
        <v>0</v>
      </c>
      <c r="L570" s="193">
        <f t="shared" si="48"/>
        <v>170845.90000000002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165285.85</v>
      </c>
      <c r="G571" s="89">
        <f t="shared" ref="G571:L571" si="49">G560+G565+G570</f>
        <v>39582.71</v>
      </c>
      <c r="H571" s="89">
        <f t="shared" si="49"/>
        <v>23963.1</v>
      </c>
      <c r="I571" s="89">
        <f t="shared" si="49"/>
        <v>2378.16</v>
      </c>
      <c r="J571" s="89">
        <f t="shared" si="49"/>
        <v>307.07</v>
      </c>
      <c r="K571" s="89">
        <f t="shared" si="49"/>
        <v>407.62</v>
      </c>
      <c r="L571" s="89">
        <f t="shared" si="49"/>
        <v>231924.51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15941.25</v>
      </c>
      <c r="G582" s="18">
        <v>229382.65</v>
      </c>
      <c r="H582" s="18">
        <v>321331.21999999997</v>
      </c>
      <c r="I582" s="87">
        <f t="shared" si="50"/>
        <v>566655.12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f>H235</f>
        <v>74776.06</v>
      </c>
      <c r="I584" s="87">
        <f t="shared" si="50"/>
        <v>74776.06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149918.37-17.34</f>
        <v>149901.03</v>
      </c>
      <c r="I591" s="18">
        <f>149918.37-95.9</f>
        <v>149822.47</v>
      </c>
      <c r="J591" s="18">
        <f>46128.73+113.24</f>
        <v>46241.97</v>
      </c>
      <c r="K591" s="104">
        <f t="shared" ref="K591:K597" si="51">SUM(H591:J591)</f>
        <v>345965.47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69476.7</v>
      </c>
      <c r="I592" s="18">
        <f>L542</f>
        <v>69476.7</v>
      </c>
      <c r="J592" s="18">
        <f>L543</f>
        <v>69476.709999999992</v>
      </c>
      <c r="K592" s="104">
        <f t="shared" si="51"/>
        <v>208430.11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f>15648+1197.07</f>
        <v>16845.07</v>
      </c>
      <c r="K593" s="104">
        <f t="shared" si="51"/>
        <v>16845.07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6228.95</v>
      </c>
      <c r="J594" s="18">
        <f>17994.73+9630.2</f>
        <v>27624.93</v>
      </c>
      <c r="K594" s="104">
        <f t="shared" si="51"/>
        <v>33853.879999999997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908.87</v>
      </c>
      <c r="I595" s="18">
        <v>5907.65</v>
      </c>
      <c r="J595" s="18">
        <v>12269.73</v>
      </c>
      <c r="K595" s="104">
        <f t="shared" si="51"/>
        <v>19086.25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158495.51999999999</v>
      </c>
      <c r="I597" s="18">
        <v>158495.51</v>
      </c>
      <c r="J597" s="18">
        <v>48767.85</v>
      </c>
      <c r="K597" s="104">
        <f t="shared" si="51"/>
        <v>365758.88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378782.12</v>
      </c>
      <c r="I598" s="108">
        <f>SUM(I591:I597)</f>
        <v>389931.28</v>
      </c>
      <c r="J598" s="108">
        <f>SUM(J591:J597)</f>
        <v>221226.26</v>
      </c>
      <c r="K598" s="108">
        <f>SUM(K591:K597)</f>
        <v>989939.65999999992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152266.72000000003</v>
      </c>
      <c r="I604" s="18">
        <f>J229+J309</f>
        <v>168011.36000000002</v>
      </c>
      <c r="J604" s="18">
        <f>J247+J328</f>
        <v>187665.18000000002</v>
      </c>
      <c r="K604" s="104">
        <f>SUM(H604:J604)</f>
        <v>507943.26000000013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152266.72000000003</v>
      </c>
      <c r="I605" s="108">
        <f>SUM(I602:I604)</f>
        <v>168011.36000000002</v>
      </c>
      <c r="J605" s="108">
        <f>SUM(J602:J604)</f>
        <v>187665.18000000002</v>
      </c>
      <c r="K605" s="108">
        <f>SUM(K602:K604)</f>
        <v>507943.26000000013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8400</v>
      </c>
      <c r="G613" s="18">
        <v>1958.6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10358.6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8400</v>
      </c>
      <c r="G614" s="108">
        <f t="shared" si="52"/>
        <v>1958.6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10358.6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3097040.9299999997</v>
      </c>
      <c r="H617" s="109">
        <f>SUM(F52)</f>
        <v>3097040.9300000053</v>
      </c>
      <c r="I617" s="121" t="s">
        <v>891</v>
      </c>
      <c r="J617" s="109">
        <f>G617-H617</f>
        <v>-5.5879354476928711E-9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151933.56</v>
      </c>
      <c r="H618" s="109">
        <f>SUM(G52)</f>
        <v>151933.55999999988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100769.69</v>
      </c>
      <c r="H619" s="109">
        <f>SUM(H52)</f>
        <v>100769.68999999999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1546299.1099999999</v>
      </c>
      <c r="H621" s="109">
        <f>SUM(J52)</f>
        <v>1546299.1099999999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1063409.3500000052</v>
      </c>
      <c r="H622" s="109">
        <f>F476</f>
        <v>1063409.3500000052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127951.61999999988</v>
      </c>
      <c r="H623" s="109">
        <f>G476</f>
        <v>127951.61999999988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1546299.1099999999</v>
      </c>
      <c r="H626" s="109">
        <f>J476</f>
        <v>1546299.1099999999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26653608.680000003</v>
      </c>
      <c r="H627" s="104">
        <f>SUM(F468)</f>
        <v>26653608.680000003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681864.54999999993</v>
      </c>
      <c r="H628" s="104">
        <f>SUM(G468)</f>
        <v>681864.54999999993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328813.42</v>
      </c>
      <c r="H629" s="104">
        <f>SUM(H468)</f>
        <v>328813.42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311728.68</v>
      </c>
      <c r="H631" s="104">
        <f>SUM(J468)</f>
        <v>311728.68000000005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26483150.329999998</v>
      </c>
      <c r="H632" s="104">
        <f>SUM(F472)</f>
        <v>26483150.329999998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328813.42000000004</v>
      </c>
      <c r="H633" s="104">
        <f>SUM(H472)</f>
        <v>328813.42000000004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266553.33999999997</v>
      </c>
      <c r="H634" s="104">
        <f>I369</f>
        <v>266553.34000000003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596335.99</v>
      </c>
      <c r="H635" s="104">
        <f>SUM(G472)</f>
        <v>596335.99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311728.68000000005</v>
      </c>
      <c r="H637" s="164">
        <f>SUM(J468)</f>
        <v>311728.68000000005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1185378.44</v>
      </c>
      <c r="H639" s="104">
        <f>SUM(F461)</f>
        <v>1185378.44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360920.67</v>
      </c>
      <c r="H640" s="104">
        <f>SUM(G461)</f>
        <v>360920.67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1546299.1099999999</v>
      </c>
      <c r="H642" s="104">
        <f>SUM(I461)</f>
        <v>1546299.1099999999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37218.68</v>
      </c>
      <c r="H644" s="104">
        <f>H408</f>
        <v>37218.68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274510</v>
      </c>
      <c r="H645" s="104">
        <f>G408</f>
        <v>274510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311728.68</v>
      </c>
      <c r="H646" s="104">
        <f>L408</f>
        <v>311728.68000000005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989939.65999999992</v>
      </c>
      <c r="H647" s="104">
        <f>L208+L226+L244</f>
        <v>989939.66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507943.26000000013</v>
      </c>
      <c r="H648" s="104">
        <f>(J257+J338)-(J255+J336)</f>
        <v>507943.26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378782.12</v>
      </c>
      <c r="H649" s="104">
        <f>H598</f>
        <v>378782.12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389931.28</v>
      </c>
      <c r="H650" s="104">
        <f>I598</f>
        <v>389931.28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221226.25999999998</v>
      </c>
      <c r="H651" s="104">
        <f>J598</f>
        <v>221226.26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274510</v>
      </c>
      <c r="H655" s="104">
        <f>K266+K347</f>
        <v>274510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7520108.3800000008</v>
      </c>
      <c r="G660" s="19">
        <f>(L229+L309+L359)</f>
        <v>8077241.3099999996</v>
      </c>
      <c r="H660" s="19">
        <f>(L247+L328+L360)</f>
        <v>10360508.799999999</v>
      </c>
      <c r="I660" s="19">
        <f>SUM(F660:H660)</f>
        <v>25957858.490000002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108779.35650638728</v>
      </c>
      <c r="G661" s="19">
        <f>(L359/IF(SUM(L358:L360)=0,1,SUM(L358:L360))*(SUM(G97:G110)))</f>
        <v>182958.02583707028</v>
      </c>
      <c r="H661" s="19">
        <f>(L360/IF(SUM(L358:L360)=0,1,SUM(L358:L360))*(SUM(G97:G110)))</f>
        <v>283948.8076565424</v>
      </c>
      <c r="I661" s="19">
        <f>SUM(F661:H661)</f>
        <v>575686.18999999994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328932.93</v>
      </c>
      <c r="G662" s="19">
        <f>(L226+L306)-(J226+J306)</f>
        <v>340082.09</v>
      </c>
      <c r="H662" s="19">
        <f>(L244+L325)-(J244+J325)</f>
        <v>205888.05</v>
      </c>
      <c r="I662" s="19">
        <f>SUM(F662:H662)</f>
        <v>874903.07000000007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168207.97000000003</v>
      </c>
      <c r="G663" s="199">
        <f>SUM(G575:G587)+SUM(I602:I604)+L612</f>
        <v>397394.01</v>
      </c>
      <c r="H663" s="199">
        <f>SUM(H575:H587)+SUM(J602:J604)+L613</f>
        <v>594131.05999999994</v>
      </c>
      <c r="I663" s="19">
        <f>SUM(F663:H663)</f>
        <v>1159733.04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6914188.1234936137</v>
      </c>
      <c r="G664" s="19">
        <f>G660-SUM(G661:G663)</f>
        <v>7156807.1841629297</v>
      </c>
      <c r="H664" s="19">
        <f>H660-SUM(H661:H663)</f>
        <v>9276540.8823434561</v>
      </c>
      <c r="I664" s="19">
        <f>I660-SUM(I661:I663)</f>
        <v>23347536.190000001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419.91</v>
      </c>
      <c r="G665" s="248">
        <v>506.36</v>
      </c>
      <c r="H665" s="248">
        <v>584.38</v>
      </c>
      <c r="I665" s="19">
        <f>SUM(F665:H665)</f>
        <v>1510.65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16465.88</v>
      </c>
      <c r="G667" s="19">
        <f>ROUND(G664/G665,2)</f>
        <v>14133.83</v>
      </c>
      <c r="H667" s="19">
        <f>ROUND(H664/H665,2)</f>
        <v>15874.16</v>
      </c>
      <c r="I667" s="19">
        <f>ROUND(I664/I665,2)</f>
        <v>15455.29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-11.83</v>
      </c>
      <c r="I670" s="19">
        <f>SUM(F670:H670)</f>
        <v>-11.83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16465.88</v>
      </c>
      <c r="G672" s="19">
        <f>ROUND((G664+G669)/(G665+G670),2)</f>
        <v>14133.83</v>
      </c>
      <c r="H672" s="19">
        <f>ROUND((H664+H669)/(H665+H670),2)</f>
        <v>16202.15</v>
      </c>
      <c r="I672" s="19">
        <f>ROUND((I664+I669)/(I665+I670),2)</f>
        <v>15577.28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6908009.6900000004</v>
      </c>
      <c r="C9" s="229">
        <f>'DOE25'!G197+'DOE25'!G215+'DOE25'!G233+'DOE25'!G276+'DOE25'!G295+'DOE25'!G314</f>
        <v>3653173.92</v>
      </c>
    </row>
    <row r="10" spans="1:3" x14ac:dyDescent="0.2">
      <c r="A10" t="s">
        <v>779</v>
      </c>
      <c r="B10" s="240">
        <f>6908009.69-25035.92-199343.27</f>
        <v>6683630.5000000009</v>
      </c>
      <c r="C10" s="240">
        <f>3653173.92-5664.36-93266.38</f>
        <v>3554243.18</v>
      </c>
    </row>
    <row r="11" spans="1:3" x14ac:dyDescent="0.2">
      <c r="A11" t="s">
        <v>780</v>
      </c>
      <c r="B11" s="240">
        <f>15506.27+9529.65</f>
        <v>25035.919999999998</v>
      </c>
      <c r="C11" s="240">
        <f>4807.08+857.28</f>
        <v>5664.36</v>
      </c>
    </row>
    <row r="12" spans="1:3" x14ac:dyDescent="0.2">
      <c r="A12" t="s">
        <v>781</v>
      </c>
      <c r="B12" s="240">
        <f>84460.08+97345.74+31804.68*3-77876.59</f>
        <v>199343.27</v>
      </c>
      <c r="C12" s="240">
        <f>39590.1+31281.81+15806.64*3-25025.45</f>
        <v>93266.38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6908009.6900000004</v>
      </c>
      <c r="C13" s="231">
        <f>SUM(C10:C12)</f>
        <v>3653173.92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2793418.09</v>
      </c>
      <c r="C18" s="229">
        <f>'DOE25'!G198+'DOE25'!G216+'DOE25'!G234+'DOE25'!G277+'DOE25'!G296+'DOE25'!G315</f>
        <v>1202934.1599999999</v>
      </c>
    </row>
    <row r="19" spans="1:3" x14ac:dyDescent="0.2">
      <c r="A19" t="s">
        <v>779</v>
      </c>
      <c r="B19" s="240">
        <f>381829.74+360629.74+319023.2-83307.48+65320+67620</f>
        <v>1111115.2</v>
      </c>
      <c r="C19" s="240">
        <f>199389.51+167420.95+143509.8-42623.46+40226.7+24185.5</f>
        <v>532109</v>
      </c>
    </row>
    <row r="20" spans="1:3" x14ac:dyDescent="0.2">
      <c r="A20" t="s">
        <v>780</v>
      </c>
      <c r="B20" s="240">
        <f>2793418.09-1111115.2-83307.48</f>
        <v>1598995.41</v>
      </c>
      <c r="C20" s="240">
        <f>1202934.16-532109-42623.46</f>
        <v>628201.69999999995</v>
      </c>
    </row>
    <row r="21" spans="1:3" x14ac:dyDescent="0.2">
      <c r="A21" t="s">
        <v>781</v>
      </c>
      <c r="B21" s="240">
        <f>41653.74*2</f>
        <v>83307.48</v>
      </c>
      <c r="C21" s="240">
        <f>21311.73*2</f>
        <v>42623.46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2793418.09</v>
      </c>
      <c r="C22" s="231">
        <f>SUM(C19:C21)</f>
        <v>1202934.1599999999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352396.32</v>
      </c>
      <c r="C36" s="235">
        <f>'DOE25'!G200+'DOE25'!G218+'DOE25'!G236+'DOE25'!G279+'DOE25'!G298+'DOE25'!G317</f>
        <v>109705.06999999999</v>
      </c>
    </row>
    <row r="37" spans="1:3" x14ac:dyDescent="0.2">
      <c r="A37" t="s">
        <v>779</v>
      </c>
      <c r="B37" s="240">
        <v>165420</v>
      </c>
      <c r="C37" s="240">
        <v>38873.07</v>
      </c>
    </row>
    <row r="38" spans="1:3" x14ac:dyDescent="0.2">
      <c r="A38" t="s">
        <v>780</v>
      </c>
      <c r="B38" s="240">
        <f>352396.32-165420-64789.38</f>
        <v>122186.94</v>
      </c>
      <c r="C38" s="240">
        <f>109705.07-38873.07-37193.51</f>
        <v>33638.49</v>
      </c>
    </row>
    <row r="39" spans="1:3" x14ac:dyDescent="0.2">
      <c r="A39" t="s">
        <v>781</v>
      </c>
      <c r="B39" s="240">
        <v>64789.38</v>
      </c>
      <c r="C39" s="240">
        <v>37193.51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352396.32</v>
      </c>
      <c r="C40" s="231">
        <f>SUM(C37:C39)</f>
        <v>109705.07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BOW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16518343.239999998</v>
      </c>
      <c r="D5" s="20">
        <f>SUM('DOE25'!L197:L200)+SUM('DOE25'!L215:L218)+SUM('DOE25'!L233:L236)-F5-G5</f>
        <v>16392381.189999999</v>
      </c>
      <c r="E5" s="243"/>
      <c r="F5" s="255">
        <f>SUM('DOE25'!J197:J200)+SUM('DOE25'!J215:J218)+SUM('DOE25'!J233:J236)</f>
        <v>99637.51999999999</v>
      </c>
      <c r="G5" s="53">
        <f>SUM('DOE25'!K197:K200)+SUM('DOE25'!K215:K218)+SUM('DOE25'!K233:K236)</f>
        <v>26324.53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2175723.2599999998</v>
      </c>
      <c r="D6" s="20">
        <f>'DOE25'!L202+'DOE25'!L220+'DOE25'!L238-F6-G6</f>
        <v>2171978.09</v>
      </c>
      <c r="E6" s="243"/>
      <c r="F6" s="255">
        <f>'DOE25'!J202+'DOE25'!J220+'DOE25'!J238</f>
        <v>3110.17</v>
      </c>
      <c r="G6" s="53">
        <f>'DOE25'!K202+'DOE25'!K220+'DOE25'!K238</f>
        <v>635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1110741.69</v>
      </c>
      <c r="D7" s="20">
        <f>'DOE25'!L203+'DOE25'!L221+'DOE25'!L239-F7-G7</f>
        <v>839974.66999999993</v>
      </c>
      <c r="E7" s="243"/>
      <c r="F7" s="255">
        <f>'DOE25'!J203+'DOE25'!J221+'DOE25'!J239</f>
        <v>270549.02</v>
      </c>
      <c r="G7" s="53">
        <f>'DOE25'!K203+'DOE25'!K221+'DOE25'!K239</f>
        <v>218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596604.24</v>
      </c>
      <c r="D8" s="243"/>
      <c r="E8" s="20">
        <f>'DOE25'!L204+'DOE25'!L222+'DOE25'!L240-F8-G8-D9-D11</f>
        <v>520276.20999999996</v>
      </c>
      <c r="F8" s="255">
        <f>'DOE25'!J204+'DOE25'!J222+'DOE25'!J240</f>
        <v>0</v>
      </c>
      <c r="G8" s="53">
        <f>'DOE25'!K204+'DOE25'!K222+'DOE25'!K240</f>
        <v>76328.03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42883.16</v>
      </c>
      <c r="D9" s="244">
        <v>42883.16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12030</v>
      </c>
      <c r="D10" s="243"/>
      <c r="E10" s="244">
        <v>12030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217004.91</v>
      </c>
      <c r="D11" s="244">
        <v>217004.91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1252791.48</v>
      </c>
      <c r="D12" s="20">
        <f>'DOE25'!L205+'DOE25'!L223+'DOE25'!L241-F12-G12</f>
        <v>1240291.3799999999</v>
      </c>
      <c r="E12" s="243"/>
      <c r="F12" s="255">
        <f>'DOE25'!J205+'DOE25'!J223+'DOE25'!J241</f>
        <v>1149.6100000000001</v>
      </c>
      <c r="G12" s="53">
        <f>'DOE25'!K205+'DOE25'!K223+'DOE25'!K241</f>
        <v>11350.49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2128677.44</v>
      </c>
      <c r="D14" s="20">
        <f>'DOE25'!L207+'DOE25'!L225+'DOE25'!L243-F14-G14</f>
        <v>2122075.19</v>
      </c>
      <c r="E14" s="243"/>
      <c r="F14" s="255">
        <f>'DOE25'!J207+'DOE25'!J225+'DOE25'!J243</f>
        <v>6602.25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989939.66</v>
      </c>
      <c r="D15" s="20">
        <f>'DOE25'!L208+'DOE25'!L226+'DOE25'!L244-F15-G15</f>
        <v>869065.2300000001</v>
      </c>
      <c r="E15" s="243"/>
      <c r="F15" s="255">
        <f>'DOE25'!J208+'DOE25'!J226+'DOE25'!J244</f>
        <v>115036.59</v>
      </c>
      <c r="G15" s="53">
        <f>'DOE25'!K208+'DOE25'!K226+'DOE25'!K244</f>
        <v>5837.84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1175931.25</v>
      </c>
      <c r="D25" s="243"/>
      <c r="E25" s="243"/>
      <c r="F25" s="258"/>
      <c r="G25" s="256"/>
      <c r="H25" s="257">
        <f>'DOE25'!L260+'DOE25'!L261+'DOE25'!L341+'DOE25'!L342</f>
        <v>1175931.25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346951.79</v>
      </c>
      <c r="D29" s="20">
        <f>'DOE25'!L358+'DOE25'!L359+'DOE25'!L360-'DOE25'!I367-F29-G29</f>
        <v>339086.82999999996</v>
      </c>
      <c r="E29" s="243"/>
      <c r="F29" s="255">
        <f>'DOE25'!J358+'DOE25'!J359+'DOE25'!J360</f>
        <v>7414.96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328813.42000000004</v>
      </c>
      <c r="D31" s="20">
        <f>'DOE25'!L290+'DOE25'!L309+'DOE25'!L328+'DOE25'!L333+'DOE25'!L334+'DOE25'!L335-F31-G31</f>
        <v>313466.89000000007</v>
      </c>
      <c r="E31" s="243"/>
      <c r="F31" s="255">
        <f>'DOE25'!J290+'DOE25'!J309+'DOE25'!J328+'DOE25'!J333+'DOE25'!J334+'DOE25'!J335</f>
        <v>11858.099999999999</v>
      </c>
      <c r="G31" s="53">
        <f>'DOE25'!K290+'DOE25'!K309+'DOE25'!K328+'DOE25'!K333+'DOE25'!K334+'DOE25'!K335</f>
        <v>3488.43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24548207.540000003</v>
      </c>
      <c r="E33" s="246">
        <f>SUM(E5:E31)</f>
        <v>532306.21</v>
      </c>
      <c r="F33" s="246">
        <f>SUM(F5:F31)</f>
        <v>515358.22000000003</v>
      </c>
      <c r="G33" s="246">
        <f>SUM(G5:G31)</f>
        <v>124632.31999999999</v>
      </c>
      <c r="H33" s="246">
        <f>SUM(H5:H31)</f>
        <v>1175931.25</v>
      </c>
    </row>
    <row r="35" spans="2:8" ht="12" thickBot="1" x14ac:dyDescent="0.25">
      <c r="B35" s="253" t="s">
        <v>847</v>
      </c>
      <c r="D35" s="254">
        <f>E33</f>
        <v>532306.21</v>
      </c>
      <c r="E35" s="249"/>
    </row>
    <row r="36" spans="2:8" ht="12" thickTop="1" x14ac:dyDescent="0.2">
      <c r="B36" t="s">
        <v>815</v>
      </c>
      <c r="D36" s="20">
        <f>D33</f>
        <v>24548207.540000003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2875592.92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1546299.1099999999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97863.93</v>
      </c>
      <c r="D11" s="95">
        <f>'DOE25'!G12</f>
        <v>146595.79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100769.69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31243.26</v>
      </c>
      <c r="D13" s="95">
        <f>'DOE25'!G14</f>
        <v>5337.77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14849.07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77491.75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3097040.9299999997</v>
      </c>
      <c r="D18" s="41">
        <f>SUM(D8:D17)</f>
        <v>151933.56</v>
      </c>
      <c r="E18" s="41">
        <f>SUM(E8:E17)</f>
        <v>100769.69</v>
      </c>
      <c r="F18" s="41">
        <f>SUM(F8:F17)</f>
        <v>0</v>
      </c>
      <c r="G18" s="41">
        <f>SUM(G8:G17)</f>
        <v>1546299.1099999999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146595.79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49249.85</v>
      </c>
      <c r="D22" s="95">
        <f>'DOE25'!G23</f>
        <v>0</v>
      </c>
      <c r="E22" s="95">
        <f>'DOE25'!H23</f>
        <v>97863.93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982012.21</v>
      </c>
      <c r="D23" s="95">
        <f>'DOE25'!G24</f>
        <v>6450.27</v>
      </c>
      <c r="E23" s="95">
        <f>'DOE25'!H24</f>
        <v>2905.76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790348.98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1548.6499999999996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17531.669999999998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63876.100000000093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2033631.58</v>
      </c>
      <c r="D31" s="41">
        <f>SUM(D21:D30)</f>
        <v>23981.94</v>
      </c>
      <c r="E31" s="41">
        <f>SUM(E21:E30)</f>
        <v>100769.68999999999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39680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127951.61999999988</v>
      </c>
      <c r="E47" s="95">
        <f>'DOE25'!H48</f>
        <v>0</v>
      </c>
      <c r="F47" s="95">
        <f>'DOE25'!I48</f>
        <v>0</v>
      </c>
      <c r="G47" s="95">
        <f>'DOE25'!J48</f>
        <v>1546299.1099999999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1023729.3500000052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1063409.3500000052</v>
      </c>
      <c r="D50" s="41">
        <f>SUM(D34:D49)</f>
        <v>127951.61999999988</v>
      </c>
      <c r="E50" s="41">
        <f>SUM(E34:E49)</f>
        <v>0</v>
      </c>
      <c r="F50" s="41">
        <f>SUM(F34:F49)</f>
        <v>0</v>
      </c>
      <c r="G50" s="41">
        <f>SUM(G34:G49)</f>
        <v>1546299.1099999999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3097040.9300000053</v>
      </c>
      <c r="D51" s="41">
        <f>D50+D31</f>
        <v>151933.55999999988</v>
      </c>
      <c r="E51" s="41">
        <f>E50+E31</f>
        <v>100769.68999999999</v>
      </c>
      <c r="F51" s="41">
        <f>F50+F31</f>
        <v>0</v>
      </c>
      <c r="G51" s="41">
        <f>G50+G31</f>
        <v>1546299.1099999999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17887682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1638330.1900000002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2281.1799999999998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37218.68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575686.18999999994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862827.1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2503438.4700000002</v>
      </c>
      <c r="D62" s="130">
        <f>SUM(D57:D61)</f>
        <v>575686.18999999994</v>
      </c>
      <c r="E62" s="130">
        <f>SUM(E57:E61)</f>
        <v>0</v>
      </c>
      <c r="F62" s="130">
        <f>SUM(F57:F61)</f>
        <v>0</v>
      </c>
      <c r="G62" s="130">
        <f>SUM(G57:G61)</f>
        <v>37218.68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20391120.469999999</v>
      </c>
      <c r="D63" s="22">
        <f>D56+D62</f>
        <v>575686.18999999994</v>
      </c>
      <c r="E63" s="22">
        <f>E56+E62</f>
        <v>0</v>
      </c>
      <c r="F63" s="22">
        <f>F56+F62</f>
        <v>0</v>
      </c>
      <c r="G63" s="22">
        <f>G56+G62</f>
        <v>37218.68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3327740.56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2123841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5453463.540000001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309915.33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202956.53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8084.28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26511.73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520956.14</v>
      </c>
      <c r="D78" s="130">
        <f>SUM(D72:D77)</f>
        <v>26511.73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5974419.6800000006</v>
      </c>
      <c r="D81" s="130">
        <f>SUM(D79:D80)+D78+D70</f>
        <v>26511.73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288068.53000000003</v>
      </c>
      <c r="D88" s="95">
        <f>SUM('DOE25'!G153:G161)</f>
        <v>79666.63</v>
      </c>
      <c r="E88" s="95">
        <f>SUM('DOE25'!H153:H161)</f>
        <v>328813.42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288068.53000000003</v>
      </c>
      <c r="D91" s="131">
        <f>SUM(D85:D90)</f>
        <v>79666.63</v>
      </c>
      <c r="E91" s="131">
        <f>SUM(E85:E90)</f>
        <v>328813.42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274510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274510</v>
      </c>
    </row>
    <row r="104" spans="1:7" ht="12.75" thickTop="1" thickBot="1" x14ac:dyDescent="0.25">
      <c r="A104" s="33" t="s">
        <v>765</v>
      </c>
      <c r="C104" s="86">
        <f>C63+C81+C91+C103</f>
        <v>26653608.68</v>
      </c>
      <c r="D104" s="86">
        <f>D63+D81+D91+D103</f>
        <v>681864.54999999993</v>
      </c>
      <c r="E104" s="86">
        <f>E63+E81+E91+E103</f>
        <v>328813.42</v>
      </c>
      <c r="F104" s="86">
        <f>F63+F81+F91+F103</f>
        <v>0</v>
      </c>
      <c r="G104" s="86">
        <f>G63+G81+G103</f>
        <v>311728.68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10955334.349999998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4851208.37</v>
      </c>
      <c r="D110" s="24" t="s">
        <v>289</v>
      </c>
      <c r="E110" s="95">
        <f>('DOE25'!L277)+('DOE25'!L296)+('DOE25'!L315)</f>
        <v>286734.62000000005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74776.06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637024.46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16518343.239999998</v>
      </c>
      <c r="D115" s="86">
        <f>SUM(D109:D114)</f>
        <v>0</v>
      </c>
      <c r="E115" s="86">
        <f>SUM(E109:E114)</f>
        <v>286734.62000000005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2175723.2599999998</v>
      </c>
      <c r="D118" s="24" t="s">
        <v>289</v>
      </c>
      <c r="E118" s="95">
        <f>+('DOE25'!L281)+('DOE25'!L300)+('DOE25'!L319)</f>
        <v>7460.23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1110741.69</v>
      </c>
      <c r="D119" s="24" t="s">
        <v>289</v>
      </c>
      <c r="E119" s="95">
        <f>+('DOE25'!L282)+('DOE25'!L301)+('DOE25'!L320)</f>
        <v>34618.57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856492.31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1252791.48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2128677.44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989939.66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596335.99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8514365.8399999999</v>
      </c>
      <c r="D128" s="86">
        <f>SUM(D118:D127)</f>
        <v>596335.99</v>
      </c>
      <c r="E128" s="86">
        <f>SUM(E118:E127)</f>
        <v>42078.8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170931.25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307588.28000000003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4140.3999999999996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-37218.680000000051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1450441.25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26483150.329999998</v>
      </c>
      <c r="D145" s="86">
        <f>(D115+D128+D144)</f>
        <v>596335.99</v>
      </c>
      <c r="E145" s="86">
        <f>(E115+E128+E144)</f>
        <v>328813.42000000004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8/15/96</v>
      </c>
      <c r="C152" s="152" t="str">
        <f>'DOE25'!G491</f>
        <v>7/1/2006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8/20/16</v>
      </c>
      <c r="C153" s="152" t="str">
        <f>'DOE25'!G492</f>
        <v>7/1/2026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16157528</v>
      </c>
      <c r="C154" s="137">
        <f>'DOE25'!G493</f>
        <v>4027000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</v>
      </c>
      <c r="C155" s="137">
        <f>'DOE25'!G494</f>
        <v>4.4000000000000004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1610000</v>
      </c>
      <c r="C156" s="137">
        <f>'DOE25'!G495</f>
        <v>2400000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4010000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805000</v>
      </c>
      <c r="C158" s="137">
        <f>'DOE25'!G497</f>
        <v>200000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1005000</v>
      </c>
    </row>
    <row r="159" spans="1:9" x14ac:dyDescent="0.2">
      <c r="A159" s="22" t="s">
        <v>35</v>
      </c>
      <c r="B159" s="137">
        <f>'DOE25'!F498</f>
        <v>805000</v>
      </c>
      <c r="C159" s="137">
        <f>'DOE25'!G498</f>
        <v>2200000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3005000</v>
      </c>
    </row>
    <row r="160" spans="1:9" x14ac:dyDescent="0.2">
      <c r="A160" s="22" t="s">
        <v>36</v>
      </c>
      <c r="B160" s="137">
        <f>'DOE25'!F499</f>
        <v>23143.75</v>
      </c>
      <c r="C160" s="137">
        <f>'DOE25'!G499</f>
        <v>851661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874804.75</v>
      </c>
    </row>
    <row r="161" spans="1:7" x14ac:dyDescent="0.2">
      <c r="A161" s="22" t="s">
        <v>37</v>
      </c>
      <c r="B161" s="137">
        <f>'DOE25'!F500</f>
        <v>828143.75</v>
      </c>
      <c r="C161" s="137">
        <f>'DOE25'!G500</f>
        <v>3051661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3879804.75</v>
      </c>
    </row>
    <row r="162" spans="1:7" x14ac:dyDescent="0.2">
      <c r="A162" s="22" t="s">
        <v>38</v>
      </c>
      <c r="B162" s="137">
        <f>'DOE25'!F501</f>
        <v>805000</v>
      </c>
      <c r="C162" s="137">
        <f>'DOE25'!G501</f>
        <v>200000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1005000</v>
      </c>
    </row>
    <row r="163" spans="1:7" x14ac:dyDescent="0.2">
      <c r="A163" s="22" t="s">
        <v>39</v>
      </c>
      <c r="B163" s="137">
        <f>'DOE25'!F502</f>
        <v>23143.75</v>
      </c>
      <c r="C163" s="137">
        <f>'DOE25'!G502</f>
        <v>92900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116043.75</v>
      </c>
    </row>
    <row r="164" spans="1:7" x14ac:dyDescent="0.2">
      <c r="A164" s="22" t="s">
        <v>246</v>
      </c>
      <c r="B164" s="137">
        <f>'DOE25'!F503</f>
        <v>828143.75</v>
      </c>
      <c r="C164" s="137">
        <f>'DOE25'!G503</f>
        <v>292900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1121043.75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BOW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16466</v>
      </c>
    </row>
    <row r="5" spans="1:4" x14ac:dyDescent="0.2">
      <c r="B5" t="s">
        <v>704</v>
      </c>
      <c r="C5" s="179">
        <f>IF('DOE25'!G665+'DOE25'!G670=0,0,ROUND('DOE25'!G672,0))</f>
        <v>14134</v>
      </c>
    </row>
    <row r="6" spans="1:4" x14ac:dyDescent="0.2">
      <c r="B6" t="s">
        <v>62</v>
      </c>
      <c r="C6" s="179">
        <f>IF('DOE25'!H665+'DOE25'!H670=0,0,ROUND('DOE25'!H672,0))</f>
        <v>16202</v>
      </c>
    </row>
    <row r="7" spans="1:4" x14ac:dyDescent="0.2">
      <c r="B7" t="s">
        <v>705</v>
      </c>
      <c r="C7" s="179">
        <f>IF('DOE25'!I665+'DOE25'!I670=0,0,ROUND('DOE25'!I672,0))</f>
        <v>15577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10955334</v>
      </c>
      <c r="D10" s="182">
        <f>ROUND((C10/$C$28)*100,1)</f>
        <v>42.9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5137943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74776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637024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2183183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1145360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856492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1252791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2128677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989940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170931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20649.810000000056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25553100.809999999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25553100.809999999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1005000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17887682</v>
      </c>
      <c r="D35" s="182">
        <f t="shared" ref="D35:D40" si="1">ROUND((C35/$C$41)*100,1)</f>
        <v>65.900000000000006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2540657.1500000022</v>
      </c>
      <c r="D36" s="182">
        <f t="shared" si="1"/>
        <v>9.4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5451582</v>
      </c>
      <c r="D37" s="182">
        <f t="shared" si="1"/>
        <v>20.100000000000001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549350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696549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27125820.150000002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BOW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2016-10-17T13:28:46Z</cp:lastPrinted>
  <dcterms:created xsi:type="dcterms:W3CDTF">1997-12-04T19:04:30Z</dcterms:created>
  <dcterms:modified xsi:type="dcterms:W3CDTF">2016-11-29T14:34:51Z</dcterms:modified>
</cp:coreProperties>
</file>