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210" windowWidth="12735" windowHeight="63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'DOE25'!$A$1:$L$675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197" i="1" l="1"/>
  <c r="F468" i="1" l="1"/>
  <c r="F57" i="1" l="1"/>
  <c r="G9" i="14" l="1"/>
  <c r="G15" i="14"/>
  <c r="G14" i="14"/>
  <c r="G13" i="14"/>
  <c r="E15" i="14"/>
  <c r="E14" i="14"/>
  <c r="E13" i="14"/>
  <c r="G8" i="14"/>
  <c r="G7" i="14"/>
  <c r="G6" i="14"/>
  <c r="E8" i="14"/>
  <c r="E7" i="14"/>
  <c r="E6" i="14"/>
  <c r="B20" i="12"/>
  <c r="B19" i="12"/>
  <c r="B11" i="12"/>
  <c r="I49" i="1" l="1"/>
  <c r="G465" i="1"/>
  <c r="G40" i="1"/>
  <c r="G12" i="1"/>
  <c r="F110" i="1"/>
  <c r="F14" i="1"/>
  <c r="F13" i="1"/>
  <c r="F49" i="1"/>
  <c r="K521" i="1" l="1"/>
  <c r="F526" i="1"/>
  <c r="H526" i="1"/>
  <c r="J521" i="1"/>
  <c r="I521" i="1"/>
  <c r="F521" i="1"/>
  <c r="G521" i="1"/>
  <c r="K344" i="1"/>
  <c r="I276" i="1" l="1"/>
  <c r="J282" i="1"/>
  <c r="J276" i="1"/>
  <c r="H282" i="1"/>
  <c r="G282" i="1"/>
  <c r="H207" i="1"/>
  <c r="H255" i="1"/>
  <c r="H604" i="1"/>
  <c r="H592" i="1"/>
  <c r="H591" i="1"/>
  <c r="H155" i="1"/>
  <c r="H150" i="1"/>
  <c r="H541" i="1"/>
  <c r="H159" i="1" l="1"/>
  <c r="I611" i="1" l="1"/>
  <c r="F611" i="1"/>
  <c r="F368" i="1"/>
  <c r="J358" i="1"/>
  <c r="I358" i="1"/>
  <c r="H358" i="1"/>
  <c r="F358" i="1"/>
  <c r="G158" i="1"/>
  <c r="G97" i="1"/>
  <c r="G197" i="1"/>
  <c r="I207" i="1" l="1"/>
  <c r="G207" i="1"/>
  <c r="G205" i="1"/>
  <c r="G203" i="1"/>
  <c r="G202" i="1"/>
  <c r="G198" i="1"/>
  <c r="F502" i="1"/>
  <c r="G502" i="1"/>
  <c r="G501" i="1"/>
  <c r="F28" i="1" l="1"/>
  <c r="F29" i="1"/>
  <c r="F9" i="1"/>
  <c r="H205" i="1"/>
  <c r="F63" i="1"/>
  <c r="F101" i="1"/>
  <c r="F495" i="1"/>
  <c r="F498" i="1" s="1"/>
  <c r="G497" i="1"/>
  <c r="G498" i="1" s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E109" i="2" s="1"/>
  <c r="E115" i="2" s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F112" i="1" s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3" i="10"/>
  <c r="C15" i="10"/>
  <c r="C16" i="10"/>
  <c r="C17" i="10"/>
  <c r="C19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G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5" i="2" s="1"/>
  <c r="C110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I461" i="1" s="1"/>
  <c r="H642" i="1" s="1"/>
  <c r="F461" i="1"/>
  <c r="G461" i="1"/>
  <c r="H640" i="1" s="1"/>
  <c r="H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G641" i="1"/>
  <c r="H641" i="1"/>
  <c r="J641" i="1" s="1"/>
  <c r="G642" i="1"/>
  <c r="G643" i="1"/>
  <c r="H643" i="1"/>
  <c r="G644" i="1"/>
  <c r="H647" i="1"/>
  <c r="G649" i="1"/>
  <c r="G650" i="1"/>
  <c r="G651" i="1"/>
  <c r="G652" i="1"/>
  <c r="H652" i="1"/>
  <c r="G653" i="1"/>
  <c r="H653" i="1"/>
  <c r="G654" i="1"/>
  <c r="H654" i="1"/>
  <c r="H655" i="1"/>
  <c r="J655" i="1" s="1"/>
  <c r="F192" i="1"/>
  <c r="L256" i="1"/>
  <c r="K257" i="1"/>
  <c r="I257" i="1"/>
  <c r="I271" i="1" s="1"/>
  <c r="G164" i="2"/>
  <c r="C18" i="2"/>
  <c r="C26" i="10"/>
  <c r="L328" i="1"/>
  <c r="H660" i="1" s="1"/>
  <c r="I662" i="1"/>
  <c r="L290" i="1"/>
  <c r="A31" i="12"/>
  <c r="C70" i="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128" i="2"/>
  <c r="C78" i="2"/>
  <c r="D50" i="2"/>
  <c r="G157" i="2"/>
  <c r="F18" i="2"/>
  <c r="G161" i="2"/>
  <c r="G156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J257" i="1"/>
  <c r="J271" i="1" s="1"/>
  <c r="H112" i="1"/>
  <c r="J639" i="1"/>
  <c r="K605" i="1"/>
  <c r="G648" i="1" s="1"/>
  <c r="J571" i="1"/>
  <c r="K571" i="1"/>
  <c r="L433" i="1"/>
  <c r="L419" i="1"/>
  <c r="D81" i="2"/>
  <c r="I169" i="1"/>
  <c r="H169" i="1"/>
  <c r="G552" i="1"/>
  <c r="J643" i="1"/>
  <c r="J476" i="1"/>
  <c r="H626" i="1" s="1"/>
  <c r="H476" i="1"/>
  <c r="H624" i="1" s="1"/>
  <c r="J624" i="1" s="1"/>
  <c r="I476" i="1"/>
  <c r="H625" i="1" s="1"/>
  <c r="G476" i="1"/>
  <c r="H623" i="1" s="1"/>
  <c r="J623" i="1" s="1"/>
  <c r="G338" i="1"/>
  <c r="G352" i="1" s="1"/>
  <c r="F169" i="1"/>
  <c r="J140" i="1"/>
  <c r="F571" i="1"/>
  <c r="I552" i="1"/>
  <c r="K549" i="1"/>
  <c r="K550" i="1"/>
  <c r="G22" i="2"/>
  <c r="K545" i="1"/>
  <c r="J552" i="1"/>
  <c r="H552" i="1"/>
  <c r="C29" i="10"/>
  <c r="H140" i="1"/>
  <c r="L401" i="1"/>
  <c r="C139" i="2" s="1"/>
  <c r="L393" i="1"/>
  <c r="F22" i="13"/>
  <c r="H25" i="13"/>
  <c r="C25" i="13" s="1"/>
  <c r="J651" i="1"/>
  <c r="J634" i="1"/>
  <c r="H571" i="1"/>
  <c r="L560" i="1"/>
  <c r="J545" i="1"/>
  <c r="H338" i="1"/>
  <c r="H352" i="1" s="1"/>
  <c r="F338" i="1"/>
  <c r="F352" i="1" s="1"/>
  <c r="G192" i="1"/>
  <c r="H192" i="1"/>
  <c r="E128" i="2"/>
  <c r="F552" i="1"/>
  <c r="C35" i="10"/>
  <c r="L309" i="1"/>
  <c r="D5" i="13"/>
  <c r="C5" i="13" s="1"/>
  <c r="E16" i="13"/>
  <c r="L570" i="1"/>
  <c r="I571" i="1"/>
  <c r="I545" i="1"/>
  <c r="G36" i="2"/>
  <c r="L565" i="1"/>
  <c r="G545" i="1"/>
  <c r="H545" i="1"/>
  <c r="K551" i="1"/>
  <c r="K552" i="1" s="1"/>
  <c r="C22" i="13"/>
  <c r="C138" i="2"/>
  <c r="C16" i="13"/>
  <c r="H33" i="13"/>
  <c r="F476" i="1" l="1"/>
  <c r="H622" i="1" s="1"/>
  <c r="J622" i="1" s="1"/>
  <c r="G645" i="1"/>
  <c r="K271" i="1"/>
  <c r="A13" i="12"/>
  <c r="L529" i="1"/>
  <c r="L545" i="1" s="1"/>
  <c r="L351" i="1"/>
  <c r="K352" i="1"/>
  <c r="K598" i="1"/>
  <c r="G647" i="1" s="1"/>
  <c r="H257" i="1"/>
  <c r="H271" i="1" s="1"/>
  <c r="F661" i="1"/>
  <c r="C18" i="10"/>
  <c r="J647" i="1"/>
  <c r="J636" i="1"/>
  <c r="G257" i="1"/>
  <c r="G271" i="1" s="1"/>
  <c r="J617" i="1"/>
  <c r="C20" i="10"/>
  <c r="C10" i="10"/>
  <c r="J644" i="1"/>
  <c r="H661" i="1"/>
  <c r="I661" i="1" s="1"/>
  <c r="J640" i="1"/>
  <c r="J625" i="1"/>
  <c r="J645" i="1"/>
  <c r="J649" i="1"/>
  <c r="E33" i="13"/>
  <c r="D35" i="13" s="1"/>
  <c r="L211" i="1"/>
  <c r="L257" i="1" s="1"/>
  <c r="L271" i="1" s="1"/>
  <c r="G632" i="1" s="1"/>
  <c r="J632" i="1" s="1"/>
  <c r="C81" i="2"/>
  <c r="C62" i="2"/>
  <c r="C63" i="2" s="1"/>
  <c r="C104" i="2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C24" i="10"/>
  <c r="G660" i="1"/>
  <c r="G664" i="1" s="1"/>
  <c r="G31" i="13"/>
  <c r="G33" i="13" s="1"/>
  <c r="I338" i="1"/>
  <c r="I352" i="1" s="1"/>
  <c r="J650" i="1"/>
  <c r="L407" i="1"/>
  <c r="C140" i="2" s="1"/>
  <c r="C141" i="2" s="1"/>
  <c r="C144" i="2" s="1"/>
  <c r="C145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D31" i="13" s="1"/>
  <c r="C31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667" i="1"/>
  <c r="G672" i="1"/>
  <c r="C5" i="10" s="1"/>
  <c r="G42" i="2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G635" i="1"/>
  <c r="J635" i="1" s="1"/>
  <c r="C28" i="10" l="1"/>
  <c r="L352" i="1"/>
  <c r="G633" i="1" s="1"/>
  <c r="J633" i="1" s="1"/>
  <c r="G104" i="2"/>
  <c r="H664" i="1"/>
  <c r="H646" i="1"/>
  <c r="J646" i="1" s="1"/>
  <c r="F660" i="1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H672" i="1" l="1"/>
  <c r="C6" i="10" s="1"/>
  <c r="H667" i="1"/>
  <c r="F664" i="1"/>
  <c r="I660" i="1"/>
  <c r="I664" i="1" s="1"/>
  <c r="I672" i="1" s="1"/>
  <c r="C7" i="10" s="1"/>
  <c r="H656" i="1"/>
  <c r="D28" i="10"/>
  <c r="C41" i="10"/>
  <c r="D38" i="10" s="1"/>
  <c r="I667" i="1" l="1"/>
  <c r="F672" i="1"/>
  <c r="C4" i="10" s="1"/>
  <c r="F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<sst xmlns="http://schemas.openxmlformats.org/spreadsheetml/2006/main" count="3960" uniqueCount="918">
  <si>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</si>
  <si>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</si>
  <si>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</si>
  <si>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</si>
  <si>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</si>
  <si>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</si>
  <si>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</si>
  <si>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</si>
  <si>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</si>
  <si>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</si>
  <si>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</si>
  <si>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</si>
  <si>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</si>
  <si>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</si>
  <si>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</si>
  <si>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</si>
  <si>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</si>
  <si>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</si>
  <si>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</si>
  <si>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</si>
  <si>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</si>
  <si>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</si>
  <si>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</si>
  <si>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</si>
  <si>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</si>
  <si>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</si>
  <si>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</si>
  <si>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</si>
  <si>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</si>
  <si>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</si>
  <si>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</si>
  <si>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</si>
  <si>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</si>
  <si>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</si>
  <si>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</si>
  <si>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</si>
  <si>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</si>
  <si>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</si>
  <si>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</si>
  <si>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</si>
  <si>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</si>
  <si>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</si>
  <si>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</si>
  <si>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</si>
  <si>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</si>
  <si>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</si>
  <si>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</si>
  <si>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</si>
  <si>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</si>
  <si>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</si>
  <si>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</si>
  <si>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</si>
  <si>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</si>
  <si>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</si>
  <si>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</si>
  <si>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</si>
  <si>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</si>
  <si>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</si>
  <si>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</si>
  <si>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</si>
  <si>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</si>
  <si>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</si>
  <si>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</si>
  <si>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</si>
  <si>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</si>
  <si>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</si>
  <si>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</si>
  <si>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</si>
  <si>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</si>
  <si>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</si>
  <si>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</si>
  <si>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</si>
  <si>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</si>
  <si>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</si>
  <si>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</si>
  <si>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</si>
  <si>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</si>
  <si>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</si>
  <si>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</si>
  <si>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</si>
  <si>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</si>
  <si>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</si>
  <si>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</si>
  <si>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</si>
  <si>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</si>
  <si>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</si>
  <si>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</si>
  <si>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</si>
  <si>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</si>
  <si>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</si>
  <si>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</si>
  <si>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</si>
  <si>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</si>
  <si>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</si>
  <si>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</si>
  <si>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</si>
  <si>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</si>
  <si>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</si>
  <si>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</si>
  <si>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</si>
  <si>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</si>
  <si>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</si>
  <si>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</si>
  <si>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</si>
  <si>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</si>
  <si>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</si>
  <si>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</si>
  <si>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</si>
  <si>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</si>
  <si>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</si>
  <si>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</si>
  <si>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</si>
  <si>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</si>
  <si>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</si>
  <si>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</si>
  <si>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</si>
  <si>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</si>
  <si>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</si>
  <si>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</si>
  <si>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</si>
  <si>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</si>
  <si>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</si>
  <si>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</si>
  <si>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</si>
  <si>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</si>
  <si>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</si>
  <si>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</si>
  <si>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</si>
  <si>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</si>
  <si>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</si>
  <si>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</si>
  <si>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</si>
  <si>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</si>
  <si>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</si>
  <si>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</si>
  <si>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</si>
  <si>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</si>
  <si>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</si>
  <si>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</si>
  <si>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</si>
  <si>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</si>
  <si>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</si>
  <si>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</si>
  <si>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</si>
  <si>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</si>
  <si>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</si>
  <si>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</si>
  <si>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</si>
  <si>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</si>
  <si>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</si>
  <si>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</si>
  <si>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</si>
  <si>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</si>
  <si>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</si>
  <si>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</si>
  <si>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</si>
  <si>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</si>
  <si>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</si>
  <si>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</si>
  <si>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</si>
  <si>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</si>
  <si>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</si>
  <si>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</si>
  <si>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</si>
  <si>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</si>
  <si>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</si>
  <si>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</si>
  <si>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</si>
  <si>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</si>
  <si>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</si>
  <si>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</si>
  <si>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</si>
  <si>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</si>
  <si>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</si>
  <si>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</si>
  <si>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</si>
  <si>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</si>
  <si>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</si>
  <si>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</si>
  <si>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</si>
  <si>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</si>
  <si>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</si>
  <si>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</si>
  <si>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</si>
  <si>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</si>
  <si>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</si>
  <si>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</si>
  <si>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</si>
  <si>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</si>
  <si>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</si>
  <si>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</si>
  <si>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</si>
  <si>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</si>
  <si>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</si>
  <si>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</si>
  <si>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</si>
  <si>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</si>
  <si>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</si>
  <si>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</si>
  <si>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</si>
  <si>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</si>
  <si>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</si>
  <si>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</si>
  <si>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</si>
  <si>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</si>
  <si>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</si>
  <si>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</si>
  <si>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</si>
  <si>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</si>
  <si>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</si>
  <si>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</si>
  <si>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</si>
  <si>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</si>
  <si>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</si>
  <si>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</si>
  <si>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</si>
  <si>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</si>
  <si>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</si>
  <si>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</si>
  <si>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</si>
  <si>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</si>
  <si>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</si>
  <si>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</si>
  <si>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</si>
  <si>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</si>
  <si>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</si>
  <si>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</si>
  <si>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</si>
  <si>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</si>
  <si>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</si>
  <si>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</si>
  <si>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</si>
  <si>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</si>
  <si>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</si>
  <si>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</si>
  <si>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</si>
  <si>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</si>
  <si>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</si>
  <si>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</si>
  <si>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</si>
  <si>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</si>
  <si>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</si>
  <si>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</si>
  <si>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</si>
  <si>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</si>
  <si>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</si>
  <si>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</si>
  <si>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</si>
  <si>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</si>
  <si>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</si>
  <si>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</si>
  <si>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</si>
  <si>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</si>
  <si>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</si>
  <si>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</si>
  <si>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</si>
  <si>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</si>
  <si>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</si>
  <si>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</si>
  <si>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</si>
  <si>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</si>
  <si>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</si>
  <si>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</si>
  <si>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</si>
  <si>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</si>
  <si>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</si>
  <si>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</si>
  <si>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</si>
  <si>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</si>
  <si>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</si>
  <si>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</si>
  <si>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</si>
  <si>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</si>
  <si>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</si>
  <si>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</si>
  <si>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</si>
  <si>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</si>
  <si>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</si>
  <si>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</si>
  <si>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</si>
  <si>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</si>
  <si>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</si>
  <si>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</si>
  <si>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</si>
  <si>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</si>
  <si>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</si>
  <si>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</si>
  <si>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</si>
  <si>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</si>
  <si>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</si>
  <si>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</si>
  <si>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</si>
  <si>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</si>
  <si>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</si>
  <si>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</si>
  <si>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</si>
  <si>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</si>
  <si>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</si>
  <si>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</si>
  <si>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</si>
  <si>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</si>
  <si>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</si>
  <si>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</si>
  <si>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</si>
  <si>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</si>
  <si>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</si>
  <si>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</si>
  <si>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</si>
  <si>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</si>
  <si>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</si>
  <si>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</si>
  <si>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</si>
  <si>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</si>
  <si>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</si>
  <si>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</si>
  <si>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</si>
  <si>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</si>
  <si>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</si>
  <si>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</si>
  <si>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</si>
  <si>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</si>
  <si>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</si>
  <si>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</si>
  <si>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</si>
  <si>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</si>
  <si>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</si>
  <si>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</si>
  <si>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</si>
  <si>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</si>
  <si>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</si>
  <si>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</si>
  <si>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</si>
  <si>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</si>
  <si>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</si>
  <si>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</si>
  <si>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</si>
  <si>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</si>
  <si>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</si>
  <si>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</si>
  <si>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</si>
  <si>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</si>
  <si>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</si>
  <si>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</si>
  <si>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</si>
  <si>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</si>
  <si>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</si>
  <si>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</si>
  <si>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</si>
  <si>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</si>
  <si>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</si>
  <si>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</si>
  <si>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</si>
  <si>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</si>
  <si>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</si>
  <si>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</si>
  <si>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</si>
  <si>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</si>
  <si>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</si>
  <si>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</si>
  <si>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</si>
  <si>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</si>
  <si>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</si>
  <si>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</si>
  <si>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</si>
  <si>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</si>
  <si>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</si>
  <si>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</si>
  <si>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</si>
  <si>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</si>
  <si>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</si>
  <si>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</si>
  <si>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</si>
  <si>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</si>
  <si>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</si>
  <si>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</si>
  <si>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</si>
  <si>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</si>
  <si>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</si>
  <si>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</si>
  <si>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</si>
  <si>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</si>
  <si>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</si>
  <si>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</si>
  <si>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</si>
  <si>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</si>
  <si>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</si>
  <si>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</si>
  <si>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</si>
  <si>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</si>
  <si>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</si>
  <si>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</si>
  <si>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</si>
  <si>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</si>
  <si>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</si>
  <si>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</si>
  <si>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</si>
  <si>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</si>
  <si>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</si>
  <si>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</si>
  <si>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</si>
  <si>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</si>
  <si>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</si>
  <si>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</si>
  <si>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</si>
  <si>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</si>
  <si>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</si>
  <si>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</si>
  <si>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</si>
  <si>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</si>
  <si>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</si>
  <si>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</si>
  <si>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</si>
  <si>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</si>
  <si>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</si>
  <si>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</si>
  <si>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</si>
  <si>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</si>
  <si>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</si>
  <si>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</si>
  <si>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</si>
  <si>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</si>
  <si>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</si>
  <si>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</si>
  <si>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</si>
  <si>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</si>
  <si>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</si>
  <si>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</si>
  <si>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</si>
  <si>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</si>
  <si>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</si>
  <si>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</si>
  <si>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</si>
  <si>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</si>
  <si>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</si>
  <si>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</si>
  <si>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</si>
  <si>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</si>
  <si>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</si>
  <si>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</si>
  <si>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</si>
  <si>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</si>
  <si>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</si>
  <si>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</si>
  <si>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</si>
  <si>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</si>
  <si>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</si>
  <si>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</si>
  <si>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</si>
  <si>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</si>
  <si>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</si>
  <si>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</si>
  <si>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</si>
  <si>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</si>
  <si>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</si>
  <si>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</si>
  <si>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</si>
  <si>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</si>
  <si>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</si>
  <si>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</si>
  <si>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</si>
  <si>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</si>
  <si>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</si>
  <si>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</si>
  <si>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</si>
  <si>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</si>
  <si>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</si>
  <si>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</si>
  <si>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</si>
  <si>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</si>
  <si>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</si>
  <si>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</si>
  <si>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</si>
  <si>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</si>
  <si>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</si>
  <si>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</si>
  <si>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</si>
  <si>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</si>
  <si>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</si>
  <si>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</si>
  <si>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</si>
  <si>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</si>
  <si>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</si>
  <si>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</si>
  <si>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</si>
  <si>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</si>
  <si>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</si>
  <si>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</si>
  <si>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</si>
  <si>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</si>
  <si>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</si>
  <si>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</si>
  <si>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</si>
  <si>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</si>
  <si>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</si>
  <si>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</si>
  <si>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</si>
  <si>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</si>
  <si>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</si>
  <si>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</si>
  <si>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</si>
  <si>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</si>
  <si>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</si>
  <si>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</si>
  <si>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</si>
  <si>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</si>
  <si>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</si>
  <si>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</si>
  <si>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</si>
  <si>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</si>
  <si>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</si>
  <si>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</si>
  <si>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</si>
  <si>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</si>
  <si>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</si>
  <si>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</si>
  <si>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</si>
  <si>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</si>
  <si>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</si>
  <si>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</si>
  <si>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</si>
  <si>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</si>
  <si>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</si>
  <si>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</si>
  <si>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</si>
  <si>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</si>
  <si>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</si>
  <si>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</si>
  <si>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</si>
  <si>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</si>
  <si>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</si>
  <si>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</si>
  <si>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</si>
  <si>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</si>
  <si>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</si>
  <si>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</si>
  <si>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</si>
  <si>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</si>
  <si>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</si>
  <si>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</si>
  <si>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</si>
  <si>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</si>
  <si>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</si>
  <si>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</si>
  <si>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</si>
  <si>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</si>
  <si>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</si>
  <si>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</si>
  <si>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</si>
  <si>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</si>
  <si>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</si>
  <si>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</si>
  <si>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</si>
  <si>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</si>
  <si>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</si>
  <si>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</si>
  <si>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</si>
  <si>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</si>
  <si>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</si>
  <si>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</si>
  <si>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</si>
  <si>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</si>
  <si>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</si>
  <si>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</si>
  <si>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</si>
  <si>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</si>
  <si>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</si>
  <si>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</si>
  <si>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</si>
  <si>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</si>
  <si>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</si>
  <si>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</si>
  <si>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</si>
  <si>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</si>
  <si>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</si>
  <si>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</si>
  <si>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</si>
  <si>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</si>
  <si>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</si>
  <si>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</si>
  <si>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</si>
  <si>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</si>
  <si>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</si>
  <si>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</si>
  <si>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</si>
  <si>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</si>
  <si>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</si>
  <si>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</si>
  <si>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</si>
  <si>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</si>
  <si>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</si>
  <si>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</si>
  <si>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</si>
  <si>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</si>
  <si>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</si>
  <si>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</si>
  <si>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</si>
  <si>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</si>
  <si>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</si>
  <si>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</si>
  <si>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</si>
  <si>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</si>
  <si>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</si>
  <si>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</si>
  <si>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</si>
  <si>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</si>
  <si>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</si>
  <si>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</si>
  <si>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</si>
  <si>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</si>
  <si>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</si>
  <si>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</si>
  <si>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</si>
  <si>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</si>
  <si>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</si>
  <si>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</si>
  <si>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</si>
  <si>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</si>
  <si>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</si>
  <si>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</si>
  <si>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</si>
  <si>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</si>
  <si>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</si>
  <si>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</si>
  <si>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</si>
  <si>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</si>
  <si>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</si>
  <si>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</si>
  <si>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</si>
  <si>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</si>
  <si>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</si>
  <si>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</si>
  <si>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</si>
  <si>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</si>
  <si>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</si>
  <si>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</si>
  <si>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</si>
  <si>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</si>
  <si>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</si>
  <si>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</si>
  <si>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</si>
  <si>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</si>
  <si>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</si>
  <si>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</si>
  <si>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</si>
  <si>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</si>
  <si>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</si>
  <si>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</si>
  <si>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</si>
  <si>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</si>
  <si>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</si>
  <si>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</si>
  <si>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</si>
  <si>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</si>
  <si>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</si>
  <si>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</si>
  <si>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</si>
  <si>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</si>
  <si>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</si>
  <si>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</si>
  <si>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</si>
  <si>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</si>
  <si>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</si>
  <si>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</si>
  <si>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</si>
  <si>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</si>
  <si>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</si>
  <si>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</si>
  <si>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</si>
  <si>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</si>
  <si>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</si>
  <si>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</si>
  <si>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</si>
  <si>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</si>
  <si>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</si>
  <si>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</si>
  <si>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</si>
  <si>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</si>
  <si>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</si>
  <si>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</si>
  <si>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</si>
  <si>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</si>
  <si>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</si>
  <si>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</si>
  <si>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</si>
  <si>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</si>
  <si>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</si>
  <si>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</si>
  <si>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</si>
  <si>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</si>
  <si>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</si>
  <si>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</si>
  <si>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</si>
  <si>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</si>
  <si>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</si>
  <si>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</si>
  <si>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</si>
  <si>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</si>
  <si>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</si>
  <si>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</si>
  <si>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</si>
  <si>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</si>
  <si>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</si>
  <si>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</si>
  <si>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</si>
  <si>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</si>
  <si>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</si>
  <si>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</si>
  <si>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</si>
  <si>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</si>
  <si>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</si>
  <si>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</si>
  <si>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</si>
  <si>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</si>
  <si>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</si>
  <si>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</si>
  <si>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</si>
  <si>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</si>
  <si>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</si>
  <si>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</si>
  <si>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</si>
  <si>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</si>
  <si>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</si>
  <si>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</si>
  <si>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</si>
  <si>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</si>
  <si>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</si>
  <si>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</si>
  <si>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</si>
  <si>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</si>
  <si>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</si>
  <si>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</si>
  <si>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</si>
  <si>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</si>
  <si>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</si>
  <si>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</si>
  <si>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</si>
  <si>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</si>
  <si>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</si>
  <si>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</si>
  <si>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</si>
  <si>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</si>
  <si>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</si>
  <si>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</si>
  <si>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</si>
  <si>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</si>
  <si>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</si>
  <si>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</si>
  <si>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</si>
  <si>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</si>
  <si>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</si>
  <si>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</si>
  <si>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</si>
  <si>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</si>
  <si>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</si>
  <si>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</si>
  <si>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</si>
  <si>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</si>
  <si>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</si>
  <si>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</si>
  <si>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</si>
  <si>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</si>
  <si>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</si>
  <si>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</si>
  <si>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</si>
  <si>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</si>
  <si>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</si>
  <si>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</si>
  <si>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</si>
  <si>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</si>
  <si>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</si>
  <si>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</si>
  <si>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</si>
  <si>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</si>
  <si>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</si>
  <si>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</si>
  <si>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</si>
  <si>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</si>
  <si>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</si>
  <si>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</si>
  <si>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</si>
  <si>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</si>
  <si>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</si>
  <si>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</si>
  <si>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</si>
  <si>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</si>
  <si>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</si>
  <si>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</si>
  <si>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</si>
  <si>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</si>
  <si>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</si>
  <si>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</si>
  <si>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</si>
  <si>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</si>
  <si>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</si>
  <si>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</si>
  <si>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</si>
  <si>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</si>
  <si>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</si>
  <si>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</si>
  <si>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</si>
  <si>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</si>
  <si>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</si>
  <si>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</si>
  <si>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</si>
  <si>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</si>
  <si>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</si>
  <si>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</si>
  <si>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</si>
  <si>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</si>
  <si>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</si>
  <si>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</si>
  <si>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</si>
  <si>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</si>
  <si>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</si>
  <si>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</si>
  <si>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</si>
  <si>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</si>
  <si>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</si>
  <si>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</si>
  <si>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</si>
  <si>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</si>
  <si>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</si>
  <si>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</si>
  <si>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</si>
  <si>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</si>
  <si>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</si>
  <si>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</si>
  <si>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</si>
  <si>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</si>
  <si>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</si>
  <si>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</si>
  <si>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</si>
  <si>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</si>
  <si>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</si>
  <si>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</si>
  <si>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</si>
  <si>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</si>
  <si>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</si>
  <si>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</si>
  <si>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</si>
  <si>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</si>
  <si>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</si>
  <si>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</si>
  <si>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</si>
  <si>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</si>
  <si>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</si>
  <si>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</si>
  <si>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</si>
  <si>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</si>
  <si>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</si>
  <si>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</si>
  <si>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</si>
  <si>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</si>
  <si>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</si>
  <si>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</si>
  <si>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</si>
  <si>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</si>
  <si>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</si>
  <si>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</si>
  <si>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</si>
  <si>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</si>
  <si>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</si>
  <si>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</si>
  <si>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</si>
  <si>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</si>
  <si>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</si>
  <si>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</si>
  <si>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</si>
  <si>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</si>
  <si>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</si>
  <si>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</si>
  <si>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</si>
  <si>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</si>
  <si>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</si>
  <si>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</si>
  <si>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</si>
  <si>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</si>
  <si>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</si>
  <si>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</si>
  <si>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</si>
  <si>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</si>
  <si>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</si>
  <si>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</si>
  <si>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</si>
  <si>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</si>
  <si>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</si>
  <si>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</si>
  <si>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</si>
  <si>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</si>
  <si>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</si>
  <si>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</si>
  <si>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</si>
  <si>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</si>
  <si>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</si>
  <si>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</si>
  <si>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</si>
  <si>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</si>
  <si>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</si>
  <si>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</si>
  <si>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</si>
  <si>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</si>
  <si>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</si>
  <si>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</si>
  <si>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</si>
  <si>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</si>
  <si>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</si>
  <si>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</si>
  <si>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</si>
  <si>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</si>
  <si>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</si>
  <si>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</si>
  <si>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</si>
  <si>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8/12</t>
  </si>
  <si>
    <t>8/22</t>
  </si>
  <si>
    <t>8/99</t>
  </si>
  <si>
    <t>8/19</t>
  </si>
  <si>
    <t>Brookline</t>
  </si>
  <si>
    <t>LGC Contribution Return $69,097.36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</si>
</sst>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F473" sqref="F47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916</v>
      </c>
      <c r="B2" s="21">
        <v>71</v>
      </c>
      <c r="C2" s="21">
        <v>71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414062.75+387.78</f>
        <v>414450.53</v>
      </c>
      <c r="G9" s="18">
        <v>12273.75</v>
      </c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345306.63</v>
      </c>
      <c r="G12" s="18">
        <f>40139.63</f>
        <v>40139.629999999997</v>
      </c>
      <c r="H12" s="18"/>
      <c r="I12" s="18">
        <v>0</v>
      </c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f>2039.82+1807.27</f>
        <v>3847.09</v>
      </c>
      <c r="G13" s="18">
        <v>1974.75</v>
      </c>
      <c r="H13" s="18">
        <v>117238.68</v>
      </c>
      <c r="I13" s="18"/>
      <c r="J13" s="67">
        <f>SUM(I442)</f>
        <v>45616.17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6016.8+36403.36+2721.15</f>
        <v>45141.310000000005</v>
      </c>
      <c r="G14" s="18">
        <v>0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5573.64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7588.75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-1026.8</v>
      </c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815307.51</v>
      </c>
      <c r="G19" s="41">
        <f>SUM(G9:G18)</f>
        <v>59961.77</v>
      </c>
      <c r="H19" s="41">
        <f>SUM(H9:H18)</f>
        <v>117238.68</v>
      </c>
      <c r="I19" s="41">
        <f>SUM(I9:I18)</f>
        <v>0</v>
      </c>
      <c r="J19" s="41">
        <f>SUM(J9:J18)</f>
        <v>45616.17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278442.05</v>
      </c>
      <c r="G22" s="18"/>
      <c r="H22" s="18">
        <v>110700.81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5270.15</v>
      </c>
      <c r="G23" s="18">
        <v>610.59</v>
      </c>
      <c r="H23" s="18">
        <v>2699.89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29242.68</v>
      </c>
      <c r="G24" s="18">
        <v>1885.34</v>
      </c>
      <c r="H24" s="18">
        <v>3837.98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>
        <v>0</v>
      </c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f>26323.64</f>
        <v>26323.64</v>
      </c>
      <c r="G28" s="18"/>
      <c r="H28" s="18"/>
      <c r="I28" s="18">
        <v>0</v>
      </c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1930.79+1271.78</f>
        <v>3202.5699999999997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2710</v>
      </c>
      <c r="G30" s="18">
        <v>7576.97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0</v>
      </c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345191.09</v>
      </c>
      <c r="G32" s="41">
        <f>SUM(G22:G31)</f>
        <v>10072.9</v>
      </c>
      <c r="H32" s="41">
        <f>SUM(H22:H31)</f>
        <v>117238.68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5573.64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7589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f>38212.16+6103.07</f>
        <v>44315.23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>
        <v>0</v>
      </c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45616.17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f>1882.26+21151.1+38399.64</f>
        <v>61433</v>
      </c>
      <c r="G49" s="18"/>
      <c r="H49" s="18"/>
      <c r="I49" s="18">
        <f>8575.5-8575.5</f>
        <v>0</v>
      </c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391094.42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470116.42</v>
      </c>
      <c r="G51" s="41">
        <f>SUM(G35:G50)</f>
        <v>49888.87</v>
      </c>
      <c r="H51" s="41">
        <f>SUM(H35:H50)</f>
        <v>0</v>
      </c>
      <c r="I51" s="41">
        <f>SUM(I35:I50)</f>
        <v>0</v>
      </c>
      <c r="J51" s="41">
        <f>SUM(J35:J50)</f>
        <v>45616.17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815307.51</v>
      </c>
      <c r="G52" s="41">
        <f>G51+G32</f>
        <v>59961.770000000004</v>
      </c>
      <c r="H52" s="41">
        <f>H51+H32</f>
        <v>117238.68</v>
      </c>
      <c r="I52" s="41">
        <f>I51+I32</f>
        <v>0</v>
      </c>
      <c r="J52" s="41">
        <f>J51+J32</f>
        <v>45616.17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f>5252147</f>
        <v>5252147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5252147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f>1152+33120+118871.5</f>
        <v>153143.5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153143.5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697.97</v>
      </c>
      <c r="G96" s="18">
        <v>15</v>
      </c>
      <c r="H96" s="18"/>
      <c r="I96" s="18"/>
      <c r="J96" s="18">
        <v>85.26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50027.7+72860.17-43.5</f>
        <v>122844.37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f>995+1595</f>
        <v>2590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15653.54</v>
      </c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1096.6+69097.36+1706.3+2721.15</f>
        <v>74621.41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93562.920000000013</v>
      </c>
      <c r="G111" s="41">
        <f>SUM(G96:G110)</f>
        <v>122859.37</v>
      </c>
      <c r="H111" s="41">
        <f>SUM(H96:H110)</f>
        <v>0</v>
      </c>
      <c r="I111" s="41">
        <f>SUM(I96:I110)</f>
        <v>0</v>
      </c>
      <c r="J111" s="41">
        <f>SUM(J96:J110)</f>
        <v>85.26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5498853.4199999999</v>
      </c>
      <c r="G112" s="41">
        <f>G60+G111</f>
        <v>122859.37</v>
      </c>
      <c r="H112" s="41">
        <f>H60+H79+H94+H111</f>
        <v>0</v>
      </c>
      <c r="I112" s="41">
        <f>I60+I111</f>
        <v>0</v>
      </c>
      <c r="J112" s="41">
        <f>J60+J111</f>
        <v>85.26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1925071.08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572852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2497923.08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61913.66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57247.87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2104.2800000000002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119161.53</v>
      </c>
      <c r="G136" s="41">
        <f>SUM(G123:G135)</f>
        <v>2104.2800000000002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2617084.61</v>
      </c>
      <c r="G140" s="41">
        <f>G121+SUM(G136:G137)</f>
        <v>2104.2800000000002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>
        <v>9802.74</v>
      </c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9802.74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>
        <f>39638.28+13428.95</f>
        <v>53067.229999999996</v>
      </c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>
        <v>0</v>
      </c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>
        <v>23013.86</v>
      </c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0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4135.6+21935.69</f>
        <v>26071.29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14189.6+15604.21</f>
        <v>29793.809999999998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97304.25+9234.47</f>
        <v>106538.72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1807.27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24821.13</v>
      </c>
      <c r="G162" s="41">
        <f>SUM(G150:G161)</f>
        <v>29793.809999999998</v>
      </c>
      <c r="H162" s="41">
        <f>SUM(H150:H161)</f>
        <v>185677.24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24821.13</v>
      </c>
      <c r="G169" s="41">
        <f>G147+G162+SUM(G163:G168)</f>
        <v>39596.549999999996</v>
      </c>
      <c r="H169" s="41">
        <f>H147+H162+SUM(H163:H168)</f>
        <v>185677.24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>
        <v>0</v>
      </c>
      <c r="I179" s="18"/>
      <c r="J179" s="18">
        <v>10000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10000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10000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8140759.1599999992</v>
      </c>
      <c r="G193" s="47">
        <f>G112+G140+G169+G192</f>
        <v>164560.19999999998</v>
      </c>
      <c r="H193" s="47">
        <f>H112+H140+H169+H192</f>
        <v>185677.24</v>
      </c>
      <c r="I193" s="47">
        <f>I112+I140+I169+I192</f>
        <v>0</v>
      </c>
      <c r="J193" s="47">
        <f>J112+J140+J192</f>
        <v>10085.26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2271165.17-2324</f>
        <v>2268841.17</v>
      </c>
      <c r="G197" s="18">
        <f>961443.16</f>
        <v>961443.16</v>
      </c>
      <c r="H197" s="18">
        <v>700.6</v>
      </c>
      <c r="I197" s="18">
        <v>73129.009999999995</v>
      </c>
      <c r="J197" s="18">
        <v>1915.91</v>
      </c>
      <c r="K197" s="18">
        <v>363.5</v>
      </c>
      <c r="L197" s="19">
        <f>SUM(F197:K197)</f>
        <v>3306393.35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902538.34</v>
      </c>
      <c r="G198" s="18">
        <f>382067.91</f>
        <v>382067.91</v>
      </c>
      <c r="H198" s="18">
        <v>870.62</v>
      </c>
      <c r="I198" s="18">
        <v>16473.849999999999</v>
      </c>
      <c r="J198" s="18">
        <v>48.58</v>
      </c>
      <c r="K198" s="18">
        <v>795</v>
      </c>
      <c r="L198" s="19">
        <f>SUM(F198:K198)</f>
        <v>1302794.3000000003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470974.94</v>
      </c>
      <c r="G202" s="18">
        <f>199375.92</f>
        <v>199375.92</v>
      </c>
      <c r="H202" s="18">
        <v>74186.899999999994</v>
      </c>
      <c r="I202" s="18">
        <v>12188.81</v>
      </c>
      <c r="J202" s="18">
        <v>158</v>
      </c>
      <c r="K202" s="18"/>
      <c r="L202" s="19">
        <f t="shared" ref="L202:L208" si="0">SUM(F202:K202)</f>
        <v>756884.57000000007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111195</v>
      </c>
      <c r="G203" s="18">
        <f>73209.98+30+513.88+631.4+47071.73</f>
        <v>121456.98999999999</v>
      </c>
      <c r="H203" s="18">
        <v>937.85</v>
      </c>
      <c r="I203" s="18">
        <v>8659.68</v>
      </c>
      <c r="J203" s="18">
        <v>39531.82</v>
      </c>
      <c r="K203" s="18"/>
      <c r="L203" s="19">
        <f t="shared" si="0"/>
        <v>281781.33999999997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/>
      <c r="G204" s="18"/>
      <c r="H204" s="18">
        <v>290690.08</v>
      </c>
      <c r="I204" s="18">
        <v>2396.7600000000002</v>
      </c>
      <c r="J204" s="18"/>
      <c r="K204" s="18">
        <v>3634.91</v>
      </c>
      <c r="L204" s="19">
        <f t="shared" si="0"/>
        <v>296721.75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348824.39</v>
      </c>
      <c r="G205" s="18">
        <f>147666.42</f>
        <v>147666.42000000001</v>
      </c>
      <c r="H205" s="18">
        <f>6000+28309.93+22883.6</f>
        <v>57193.53</v>
      </c>
      <c r="I205" s="18">
        <v>57288.25</v>
      </c>
      <c r="J205" s="18">
        <v>399.95</v>
      </c>
      <c r="K205" s="18">
        <v>1590</v>
      </c>
      <c r="L205" s="19">
        <f t="shared" si="0"/>
        <v>612962.54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>
        <v>1976.8</v>
      </c>
      <c r="L206" s="19">
        <f t="shared" si="0"/>
        <v>1976.8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236809.85</v>
      </c>
      <c r="G207" s="18">
        <f>100247.76</f>
        <v>100247.76</v>
      </c>
      <c r="H207" s="18">
        <f>144319.17+1076.13+17414</f>
        <v>162809.30000000002</v>
      </c>
      <c r="I207" s="18">
        <f>142666.08</f>
        <v>142666.07999999999</v>
      </c>
      <c r="J207" s="18">
        <v>3583.23</v>
      </c>
      <c r="K207" s="18"/>
      <c r="L207" s="19">
        <f t="shared" si="0"/>
        <v>646116.22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267002.86</v>
      </c>
      <c r="I208" s="18">
        <v>30920.14</v>
      </c>
      <c r="J208" s="18"/>
      <c r="K208" s="18"/>
      <c r="L208" s="19">
        <f t="shared" si="0"/>
        <v>297923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4339183.6899999995</v>
      </c>
      <c r="G211" s="41">
        <f t="shared" si="1"/>
        <v>1912258.16</v>
      </c>
      <c r="H211" s="41">
        <f t="shared" si="1"/>
        <v>854391.74000000011</v>
      </c>
      <c r="I211" s="41">
        <f t="shared" si="1"/>
        <v>343722.57999999996</v>
      </c>
      <c r="J211" s="41">
        <f t="shared" si="1"/>
        <v>45637.49</v>
      </c>
      <c r="K211" s="41">
        <f t="shared" si="1"/>
        <v>8360.2099999999991</v>
      </c>
      <c r="L211" s="41">
        <f t="shared" si="1"/>
        <v>7503553.8700000001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f>24048.16+33500</f>
        <v>57548.160000000003</v>
      </c>
      <c r="I255" s="18"/>
      <c r="J255" s="18"/>
      <c r="K255" s="18"/>
      <c r="L255" s="19">
        <f t="shared" si="6"/>
        <v>57548.160000000003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57548.160000000003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57548.160000000003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4339183.6899999995</v>
      </c>
      <c r="G257" s="41">
        <f t="shared" si="8"/>
        <v>1912258.16</v>
      </c>
      <c r="H257" s="41">
        <f t="shared" si="8"/>
        <v>911939.90000000014</v>
      </c>
      <c r="I257" s="41">
        <f t="shared" si="8"/>
        <v>343722.57999999996</v>
      </c>
      <c r="J257" s="41">
        <f t="shared" si="8"/>
        <v>45637.49</v>
      </c>
      <c r="K257" s="41">
        <f t="shared" si="8"/>
        <v>8360.2099999999991</v>
      </c>
      <c r="L257" s="41">
        <f t="shared" si="8"/>
        <v>7561102.0300000003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222591.51</v>
      </c>
      <c r="L260" s="19">
        <f>SUM(F260:K260)</f>
        <v>222591.51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257733.49</v>
      </c>
      <c r="L261" s="19">
        <f>SUM(F261:K261)</f>
        <v>257733.49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10000</v>
      </c>
      <c r="L266" s="19">
        <f t="shared" si="9"/>
        <v>10000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490325</v>
      </c>
      <c r="L270" s="41">
        <f t="shared" si="9"/>
        <v>490325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4339183.6899999995</v>
      </c>
      <c r="G271" s="42">
        <f t="shared" si="11"/>
        <v>1912258.16</v>
      </c>
      <c r="H271" s="42">
        <f t="shared" si="11"/>
        <v>911939.90000000014</v>
      </c>
      <c r="I271" s="42">
        <f t="shared" si="11"/>
        <v>343722.57999999996</v>
      </c>
      <c r="J271" s="42">
        <f t="shared" si="11"/>
        <v>45637.49</v>
      </c>
      <c r="K271" s="42">
        <f t="shared" si="11"/>
        <v>498685.21</v>
      </c>
      <c r="L271" s="42">
        <f t="shared" si="11"/>
        <v>8051427.0300000003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20192</v>
      </c>
      <c r="G276" s="18">
        <v>0</v>
      </c>
      <c r="H276" s="18">
        <v>0</v>
      </c>
      <c r="I276" s="18">
        <f>5000+5020.8-0.35</f>
        <v>10020.449999999999</v>
      </c>
      <c r="J276" s="18">
        <f>29237.67+2470.56</f>
        <v>31708.23</v>
      </c>
      <c r="K276" s="18">
        <v>0</v>
      </c>
      <c r="L276" s="19">
        <f>SUM(F276:K276)</f>
        <v>61920.679999999993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79193.490000000005</v>
      </c>
      <c r="G277" s="18">
        <v>1544.69</v>
      </c>
      <c r="H277" s="18"/>
      <c r="I277" s="18">
        <v>199</v>
      </c>
      <c r="J277" s="18"/>
      <c r="K277" s="18"/>
      <c r="L277" s="19">
        <f>SUM(F277:K277)</f>
        <v>80937.180000000008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12153.98</v>
      </c>
      <c r="G281" s="18"/>
      <c r="H281" s="18"/>
      <c r="I281" s="18"/>
      <c r="J281" s="18"/>
      <c r="K281" s="18"/>
      <c r="L281" s="19">
        <f t="shared" ref="L281:L287" si="12">SUM(F281:K281)</f>
        <v>12153.98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>
        <f>2022.67+10400.61</f>
        <v>12423.28</v>
      </c>
      <c r="H282" s="18">
        <f>2635.95+1500</f>
        <v>4135.95</v>
      </c>
      <c r="I282" s="18">
        <v>0</v>
      </c>
      <c r="J282" s="18">
        <f>11406.28</f>
        <v>11406.28</v>
      </c>
      <c r="K282" s="18"/>
      <c r="L282" s="19">
        <f t="shared" si="12"/>
        <v>27965.510000000002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>SUM(F276:F289)</f>
        <v>111539.47</v>
      </c>
      <c r="G290" s="42">
        <f>SUM(G276:G289)</f>
        <v>13967.970000000001</v>
      </c>
      <c r="H290" s="42">
        <f>SUM(H276:H289)</f>
        <v>4135.95</v>
      </c>
      <c r="I290" s="42">
        <f>SUM(I276:I289)</f>
        <v>10219.449999999999</v>
      </c>
      <c r="J290" s="42">
        <f t="shared" ref="J290:L290" si="13">SUM(J276:J289)</f>
        <v>43114.51</v>
      </c>
      <c r="K290" s="42">
        <f t="shared" si="13"/>
        <v>0</v>
      </c>
      <c r="L290" s="41">
        <f t="shared" si="13"/>
        <v>182977.35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111539.47</v>
      </c>
      <c r="G338" s="41">
        <f t="shared" si="20"/>
        <v>13967.970000000001</v>
      </c>
      <c r="H338" s="41">
        <f t="shared" si="20"/>
        <v>4135.95</v>
      </c>
      <c r="I338" s="41">
        <f t="shared" si="20"/>
        <v>10219.449999999999</v>
      </c>
      <c r="J338" s="41">
        <f t="shared" si="20"/>
        <v>43114.51</v>
      </c>
      <c r="K338" s="41">
        <f t="shared" si="20"/>
        <v>0</v>
      </c>
      <c r="L338" s="41">
        <f t="shared" si="20"/>
        <v>182977.35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f>125.38+2574.51</f>
        <v>2699.8900000000003</v>
      </c>
      <c r="L344" s="19">
        <f t="shared" ref="L344:L350" si="21">SUM(F344:K344)</f>
        <v>2699.8900000000003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2699.8900000000003</v>
      </c>
      <c r="L351" s="41">
        <f>SUM(L341:L350)</f>
        <v>2699.8900000000003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111539.47</v>
      </c>
      <c r="G352" s="41">
        <f>G338</f>
        <v>13967.970000000001</v>
      </c>
      <c r="H352" s="41">
        <f>H338</f>
        <v>4135.95</v>
      </c>
      <c r="I352" s="41">
        <f>I338</f>
        <v>10219.449999999999</v>
      </c>
      <c r="J352" s="41">
        <f>J338</f>
        <v>43114.51</v>
      </c>
      <c r="K352" s="47">
        <f>K338+K351</f>
        <v>2699.8900000000003</v>
      </c>
      <c r="L352" s="41">
        <f>L338+L351</f>
        <v>185677.24000000002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9660.25+28300.21+27353.68</f>
        <v>65314.14</v>
      </c>
      <c r="G358" s="18">
        <v>0</v>
      </c>
      <c r="H358" s="18">
        <f>1161.63+2259.83</f>
        <v>3421.46</v>
      </c>
      <c r="I358" s="18">
        <f>2544.28+2894.75+1457.34+6434.62+30518.74+40124.56+1322.82+225+610.59</f>
        <v>86132.700000000012</v>
      </c>
      <c r="J358" s="18">
        <f>1795+1793.83</f>
        <v>3588.83</v>
      </c>
      <c r="K358" s="18">
        <v>0</v>
      </c>
      <c r="L358" s="13">
        <f>SUM(F358:K358)</f>
        <v>158457.13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65314.14</v>
      </c>
      <c r="G362" s="47">
        <f t="shared" si="22"/>
        <v>0</v>
      </c>
      <c r="H362" s="47">
        <f t="shared" si="22"/>
        <v>3421.46</v>
      </c>
      <c r="I362" s="47">
        <f t="shared" si="22"/>
        <v>86132.700000000012</v>
      </c>
      <c r="J362" s="47">
        <f t="shared" si="22"/>
        <v>3588.83</v>
      </c>
      <c r="K362" s="47">
        <f t="shared" si="22"/>
        <v>0</v>
      </c>
      <c r="L362" s="47">
        <f t="shared" si="22"/>
        <v>158457.13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6434.62</v>
      </c>
      <c r="G367" s="18"/>
      <c r="H367" s="18"/>
      <c r="I367" s="56">
        <f>SUM(F367:H367)</f>
        <v>6434.62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86132.7-6434.62</f>
        <v>79698.080000000002</v>
      </c>
      <c r="G368" s="63"/>
      <c r="H368" s="63"/>
      <c r="I368" s="56">
        <f>SUM(F368:H368)</f>
        <v>79698.080000000002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86132.7</v>
      </c>
      <c r="G369" s="47">
        <f>SUM(G367:G368)</f>
        <v>0</v>
      </c>
      <c r="H369" s="47">
        <f>SUM(H367:H368)</f>
        <v>0</v>
      </c>
      <c r="I369" s="47">
        <f>SUM(I367:I368)</f>
        <v>86132.7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>
        <v>8575.5</v>
      </c>
      <c r="I379" s="18"/>
      <c r="J379" s="18"/>
      <c r="K379" s="18"/>
      <c r="L379" s="13">
        <f t="shared" si="23"/>
        <v>8575.5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8575.5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8575.5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10000</v>
      </c>
      <c r="H396" s="18"/>
      <c r="I396" s="18"/>
      <c r="J396" s="24" t="s">
        <v>289</v>
      </c>
      <c r="K396" s="24" t="s">
        <v>289</v>
      </c>
      <c r="L396" s="56">
        <f t="shared" si="26"/>
        <v>10000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v>85.26</v>
      </c>
      <c r="I400" s="18"/>
      <c r="J400" s="24" t="s">
        <v>289</v>
      </c>
      <c r="K400" s="24" t="s">
        <v>289</v>
      </c>
      <c r="L400" s="56">
        <f t="shared" si="26"/>
        <v>85.26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10000</v>
      </c>
      <c r="H401" s="47">
        <f>SUM(H395:H400)</f>
        <v>85.26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10085.26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10000</v>
      </c>
      <c r="H408" s="47">
        <f>H393+H401+H407</f>
        <v>85.26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10085.26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>
        <v>49500</v>
      </c>
      <c r="K422" s="18"/>
      <c r="L422" s="56">
        <f t="shared" si="29"/>
        <v>49500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49500</v>
      </c>
      <c r="K427" s="47">
        <f t="shared" si="30"/>
        <v>0</v>
      </c>
      <c r="L427" s="47">
        <f t="shared" si="30"/>
        <v>49500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49500</v>
      </c>
      <c r="K434" s="47">
        <f t="shared" si="32"/>
        <v>0</v>
      </c>
      <c r="L434" s="47">
        <f t="shared" si="32"/>
        <v>49500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>
        <v>45616.17</v>
      </c>
      <c r="H442" s="18"/>
      <c r="I442" s="56">
        <f t="shared" si="33"/>
        <v>45616.17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>
        <v>0</v>
      </c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45616.17</v>
      </c>
      <c r="H446" s="13">
        <f>SUM(H439:H445)</f>
        <v>0</v>
      </c>
      <c r="I446" s="13">
        <f>SUM(I439:I445)</f>
        <v>45616.17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45616.17</v>
      </c>
      <c r="H459" s="18"/>
      <c r="I459" s="56">
        <f t="shared" si="34"/>
        <v>45616.17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45616.17</v>
      </c>
      <c r="H460" s="83">
        <f>SUM(H454:H459)</f>
        <v>0</v>
      </c>
      <c r="I460" s="83">
        <f>SUM(I454:I459)</f>
        <v>45616.17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45616.17</v>
      </c>
      <c r="H461" s="42">
        <f>H452+H460</f>
        <v>0</v>
      </c>
      <c r="I461" s="42">
        <f>I452+I460</f>
        <v>45616.17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380784.29</v>
      </c>
      <c r="G465" s="18">
        <f>43785.8</f>
        <v>43785.8</v>
      </c>
      <c r="H465" s="18"/>
      <c r="I465" s="18">
        <v>8575.5</v>
      </c>
      <c r="J465" s="18">
        <v>85030.91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8136230.74+1807.27+2721.15</f>
        <v>8140759.1600000001</v>
      </c>
      <c r="G468" s="18">
        <v>164560.20000000001</v>
      </c>
      <c r="H468" s="18">
        <v>185677.24</v>
      </c>
      <c r="I468" s="18"/>
      <c r="J468" s="18">
        <v>10085.26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8140759.1600000001</v>
      </c>
      <c r="G470" s="53">
        <f>SUM(G468:G469)</f>
        <v>164560.20000000001</v>
      </c>
      <c r="H470" s="53">
        <f>SUM(H468:H469)</f>
        <v>185677.24</v>
      </c>
      <c r="I470" s="53">
        <f>SUM(I468:I469)</f>
        <v>0</v>
      </c>
      <c r="J470" s="53">
        <f>SUM(J468:J469)</f>
        <v>10085.26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8051427.0300000003</v>
      </c>
      <c r="G472" s="18">
        <v>158457.13</v>
      </c>
      <c r="H472" s="18">
        <v>185677.24</v>
      </c>
      <c r="I472" s="18">
        <v>8575.5</v>
      </c>
      <c r="J472" s="18">
        <v>49500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8051427.0300000003</v>
      </c>
      <c r="G474" s="53">
        <f>SUM(G472:G473)</f>
        <v>158457.13</v>
      </c>
      <c r="H474" s="53">
        <f>SUM(H472:H473)</f>
        <v>185677.24</v>
      </c>
      <c r="I474" s="53">
        <f>SUM(I472:I473)</f>
        <v>8575.5</v>
      </c>
      <c r="J474" s="53">
        <f>SUM(J472:J473)</f>
        <v>49500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470116.41999999899</v>
      </c>
      <c r="G476" s="53">
        <f>(G465+G470)- G474</f>
        <v>49888.869999999995</v>
      </c>
      <c r="H476" s="53">
        <f>(H465+H470)- H474</f>
        <v>0</v>
      </c>
      <c r="I476" s="53">
        <f>(I465+I470)- I474</f>
        <v>0</v>
      </c>
      <c r="J476" s="53">
        <f>(J465+J470)- J474</f>
        <v>45616.17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10</v>
      </c>
      <c r="G490" s="154">
        <v>20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 t="s">
        <v>914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 t="s">
        <v>915</v>
      </c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408500</v>
      </c>
      <c r="G493" s="18">
        <v>5367912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2.3199999999999998</v>
      </c>
      <c r="G494" s="18">
        <v>5.2</v>
      </c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f>345000-40000</f>
        <v>305000</v>
      </c>
      <c r="G495" s="18">
        <v>826409.94</v>
      </c>
      <c r="H495" s="18"/>
      <c r="I495" s="18"/>
      <c r="J495" s="18"/>
      <c r="K495" s="53">
        <f>SUM(F495:J495)</f>
        <v>1131409.94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40000</v>
      </c>
      <c r="G497" s="18">
        <f>16941.42+165650.09</f>
        <v>182591.51</v>
      </c>
      <c r="H497" s="18"/>
      <c r="I497" s="18"/>
      <c r="J497" s="18"/>
      <c r="K497" s="53">
        <f t="shared" si="35"/>
        <v>222591.51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F495-F497</f>
        <v>265000</v>
      </c>
      <c r="G498" s="204">
        <f>G495-G497</f>
        <v>643818.42999999993</v>
      </c>
      <c r="H498" s="204"/>
      <c r="I498" s="204"/>
      <c r="J498" s="204"/>
      <c r="K498" s="205">
        <f t="shared" si="35"/>
        <v>908818.42999999993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32750</v>
      </c>
      <c r="G499" s="18">
        <v>1085231.57</v>
      </c>
      <c r="H499" s="18"/>
      <c r="I499" s="18"/>
      <c r="J499" s="18"/>
      <c r="K499" s="53">
        <f t="shared" si="35"/>
        <v>1117981.57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297750</v>
      </c>
      <c r="G500" s="42">
        <f>SUM(G498:G499)</f>
        <v>1729050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2026800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40000</v>
      </c>
      <c r="G501" s="204">
        <f>161514.69+12355.56</f>
        <v>173870.25</v>
      </c>
      <c r="H501" s="204"/>
      <c r="I501" s="204"/>
      <c r="J501" s="204"/>
      <c r="K501" s="205">
        <f t="shared" si="35"/>
        <v>213870.25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f>4450+3850</f>
        <v>8300</v>
      </c>
      <c r="G502" s="18">
        <f>239435.31+19144.44</f>
        <v>258579.75</v>
      </c>
      <c r="H502" s="18"/>
      <c r="I502" s="18"/>
      <c r="J502" s="18"/>
      <c r="K502" s="53">
        <f t="shared" si="35"/>
        <v>266879.75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48300</v>
      </c>
      <c r="G503" s="42">
        <f>SUM(G501:G502)</f>
        <v>432450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480750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813630.92+4109.09+75084.4</f>
        <v>892824.41</v>
      </c>
      <c r="G521" s="18">
        <f>263706.18</f>
        <v>263706.18</v>
      </c>
      <c r="H521" s="18">
        <v>58640.27</v>
      </c>
      <c r="I521" s="18">
        <f>16473.85+5000+5020.8</f>
        <v>26494.649999999998</v>
      </c>
      <c r="J521" s="18">
        <f>48.58+27470.56</f>
        <v>27519.140000000003</v>
      </c>
      <c r="K521" s="18">
        <f>795+125.38+2574.51</f>
        <v>3494.8900000000003</v>
      </c>
      <c r="L521" s="88">
        <f>SUM(F521:K521)</f>
        <v>1272679.5399999998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892824.41</v>
      </c>
      <c r="G524" s="108">
        <f t="shared" ref="G524:L524" si="36">SUM(G521:G523)</f>
        <v>263706.18</v>
      </c>
      <c r="H524" s="108">
        <f t="shared" si="36"/>
        <v>58640.27</v>
      </c>
      <c r="I524" s="108">
        <f t="shared" si="36"/>
        <v>26494.649999999998</v>
      </c>
      <c r="J524" s="108">
        <f t="shared" si="36"/>
        <v>27519.140000000003</v>
      </c>
      <c r="K524" s="108">
        <f t="shared" si="36"/>
        <v>3494.8900000000003</v>
      </c>
      <c r="L524" s="89">
        <f t="shared" si="36"/>
        <v>1272679.5399999998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243096.83+12153.98</f>
        <v>255250.81</v>
      </c>
      <c r="G526" s="18">
        <v>83275.63</v>
      </c>
      <c r="H526" s="18">
        <f>16417.25</f>
        <v>16417.25</v>
      </c>
      <c r="I526" s="18">
        <v>6742.77</v>
      </c>
      <c r="J526" s="18"/>
      <c r="K526" s="18"/>
      <c r="L526" s="88">
        <f>SUM(F526:K526)</f>
        <v>361686.46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255250.81</v>
      </c>
      <c r="G529" s="89">
        <f t="shared" ref="G529:L529" si="37">SUM(G526:G528)</f>
        <v>83275.63</v>
      </c>
      <c r="H529" s="89">
        <f t="shared" si="37"/>
        <v>16417.25</v>
      </c>
      <c r="I529" s="89">
        <f t="shared" si="37"/>
        <v>6742.77</v>
      </c>
      <c r="J529" s="89">
        <f t="shared" si="37"/>
        <v>0</v>
      </c>
      <c r="K529" s="89">
        <f t="shared" si="37"/>
        <v>0</v>
      </c>
      <c r="L529" s="89">
        <f t="shared" si="37"/>
        <v>361686.46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82882</v>
      </c>
      <c r="G531" s="18">
        <v>35086.1</v>
      </c>
      <c r="H531" s="18"/>
      <c r="I531" s="18"/>
      <c r="J531" s="18"/>
      <c r="K531" s="18"/>
      <c r="L531" s="88">
        <f>SUM(F531:K531)</f>
        <v>117968.1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82882</v>
      </c>
      <c r="G534" s="89">
        <f t="shared" ref="G534:L534" si="38">SUM(G531:G533)</f>
        <v>35086.1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117968.1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f>48803.49+2169.3+3285.7</f>
        <v>54258.49</v>
      </c>
      <c r="I541" s="18">
        <v>6184.03</v>
      </c>
      <c r="J541" s="18"/>
      <c r="K541" s="18"/>
      <c r="L541" s="88">
        <f>SUM(F541:K541)</f>
        <v>60442.52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54258.49</v>
      </c>
      <c r="I544" s="193">
        <f t="shared" si="40"/>
        <v>6184.03</v>
      </c>
      <c r="J544" s="193">
        <f t="shared" si="40"/>
        <v>0</v>
      </c>
      <c r="K544" s="193">
        <f t="shared" si="40"/>
        <v>0</v>
      </c>
      <c r="L544" s="193">
        <f t="shared" si="40"/>
        <v>60442.52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1230957.22</v>
      </c>
      <c r="G545" s="89">
        <f t="shared" ref="G545:L545" si="41">G524+G529+G534+G539+G544</f>
        <v>382067.91</v>
      </c>
      <c r="H545" s="89">
        <f t="shared" si="41"/>
        <v>129316.00999999998</v>
      </c>
      <c r="I545" s="89">
        <f t="shared" si="41"/>
        <v>39421.449999999997</v>
      </c>
      <c r="J545" s="89">
        <f t="shared" si="41"/>
        <v>27519.140000000003</v>
      </c>
      <c r="K545" s="89">
        <f t="shared" si="41"/>
        <v>3494.8900000000003</v>
      </c>
      <c r="L545" s="89">
        <f t="shared" si="41"/>
        <v>1812776.6199999999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1272679.5399999998</v>
      </c>
      <c r="G549" s="87">
        <f>L526</f>
        <v>361686.46</v>
      </c>
      <c r="H549" s="87">
        <f>L531</f>
        <v>117968.1</v>
      </c>
      <c r="I549" s="87">
        <f>L536</f>
        <v>0</v>
      </c>
      <c r="J549" s="87">
        <f>L541</f>
        <v>60442.52</v>
      </c>
      <c r="K549" s="87">
        <f>SUM(F549:J549)</f>
        <v>1812776.6199999999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1272679.5399999998</v>
      </c>
      <c r="G552" s="89">
        <f t="shared" si="42"/>
        <v>361686.46</v>
      </c>
      <c r="H552" s="89">
        <f t="shared" si="42"/>
        <v>117968.1</v>
      </c>
      <c r="I552" s="89">
        <f t="shared" si="42"/>
        <v>0</v>
      </c>
      <c r="J552" s="89">
        <f t="shared" si="42"/>
        <v>60442.52</v>
      </c>
      <c r="K552" s="89">
        <f t="shared" si="42"/>
        <v>1812776.6199999999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106271.09+106473.28+24736.11</f>
        <v>237480.47999999998</v>
      </c>
      <c r="I591" s="18"/>
      <c r="J591" s="18"/>
      <c r="K591" s="104">
        <f t="shared" ref="K591:K597" si="48">SUM(H591:J591)</f>
        <v>237480.47999999998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18552.03+30251.46+3285.7+2169.3+6184.03</f>
        <v>60442.52</v>
      </c>
      <c r="I592" s="18"/>
      <c r="J592" s="18"/>
      <c r="K592" s="104">
        <f t="shared" si="48"/>
        <v>60442.52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297923</v>
      </c>
      <c r="I598" s="108">
        <f>SUM(I591:I597)</f>
        <v>0</v>
      </c>
      <c r="J598" s="108">
        <f>SUM(J591:J597)</f>
        <v>0</v>
      </c>
      <c r="K598" s="108">
        <f>SUM(K591:K597)</f>
        <v>297923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1915.91+48.58+158+39531.82+399.95+3583.23+29237.67+2470.56+11406.28</f>
        <v>88752</v>
      </c>
      <c r="I604" s="18"/>
      <c r="J604" s="18"/>
      <c r="K604" s="104">
        <f>SUM(H604:J604)</f>
        <v>88752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88752</v>
      </c>
      <c r="I605" s="108">
        <f>SUM(I602:I604)</f>
        <v>0</v>
      </c>
      <c r="J605" s="108">
        <f>SUM(J602:J604)</f>
        <v>0</v>
      </c>
      <c r="K605" s="108">
        <f>SUM(K602:K604)</f>
        <v>88752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f>13466.86+20365.55</f>
        <v>33832.410000000003</v>
      </c>
      <c r="G611" s="18"/>
      <c r="H611" s="18"/>
      <c r="I611" s="18">
        <f>85.7+687.84</f>
        <v>773.54000000000008</v>
      </c>
      <c r="J611" s="18"/>
      <c r="K611" s="18"/>
      <c r="L611" s="88">
        <f>SUM(F611:K611)</f>
        <v>34605.950000000004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33832.410000000003</v>
      </c>
      <c r="G614" s="108">
        <f t="shared" si="49"/>
        <v>0</v>
      </c>
      <c r="H614" s="108">
        <f t="shared" si="49"/>
        <v>0</v>
      </c>
      <c r="I614" s="108">
        <f t="shared" si="49"/>
        <v>773.54000000000008</v>
      </c>
      <c r="J614" s="108">
        <f t="shared" si="49"/>
        <v>0</v>
      </c>
      <c r="K614" s="108">
        <f t="shared" si="49"/>
        <v>0</v>
      </c>
      <c r="L614" s="89">
        <f t="shared" si="49"/>
        <v>34605.950000000004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815307.51</v>
      </c>
      <c r="H617" s="109">
        <f>SUM(F52)</f>
        <v>815307.51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59961.77</v>
      </c>
      <c r="H618" s="109">
        <f>SUM(G52)</f>
        <v>59961.770000000004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117238.68</v>
      </c>
      <c r="H619" s="109">
        <f>SUM(H52)</f>
        <v>117238.68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45616.17</v>
      </c>
      <c r="H621" s="109">
        <f>SUM(J52)</f>
        <v>45616.17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470116.42</v>
      </c>
      <c r="H622" s="109">
        <f>F476</f>
        <v>470116.41999999899</v>
      </c>
      <c r="I622" s="121" t="s">
        <v>101</v>
      </c>
      <c r="J622" s="109">
        <f t="shared" ref="J622:J655" si="50">G622-H622</f>
        <v>9.8953023552894592E-10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49888.87</v>
      </c>
      <c r="H623" s="109">
        <f>G476</f>
        <v>49888.869999999995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45616.17</v>
      </c>
      <c r="H626" s="109">
        <f>J476</f>
        <v>45616.17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8140759.1599999992</v>
      </c>
      <c r="H627" s="104">
        <f>SUM(F468)</f>
        <v>8140759.1600000001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164560.19999999998</v>
      </c>
      <c r="H628" s="104">
        <f>SUM(G468)</f>
        <v>164560.20000000001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185677.24</v>
      </c>
      <c r="H629" s="104">
        <f>SUM(H468)</f>
        <v>185677.24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10085.26</v>
      </c>
      <c r="H631" s="104">
        <f>SUM(J468)</f>
        <v>10085.26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8051427.0300000003</v>
      </c>
      <c r="H632" s="104">
        <f>SUM(F472)</f>
        <v>8051427.0300000003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185677.24000000002</v>
      </c>
      <c r="H633" s="104">
        <f>SUM(H472)</f>
        <v>185677.24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86132.700000000012</v>
      </c>
      <c r="H634" s="104">
        <f>I369</f>
        <v>86132.7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158457.13</v>
      </c>
      <c r="H635" s="104">
        <f>SUM(G472)</f>
        <v>158457.13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8575.5</v>
      </c>
      <c r="H636" s="104">
        <f>SUM(I472)</f>
        <v>8575.5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10085.26</v>
      </c>
      <c r="H637" s="164">
        <f>SUM(J468)</f>
        <v>10085.26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49500</v>
      </c>
      <c r="H638" s="164">
        <f>SUM(J472)</f>
        <v>49500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45616.17</v>
      </c>
      <c r="H640" s="104">
        <f>SUM(G461)</f>
        <v>45616.17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45616.17</v>
      </c>
      <c r="H642" s="104">
        <f>SUM(I461)</f>
        <v>45616.17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85.26</v>
      </c>
      <c r="H644" s="104">
        <f>H408</f>
        <v>85.26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10000</v>
      </c>
      <c r="H645" s="104">
        <f>G408</f>
        <v>10000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10085.26</v>
      </c>
      <c r="H646" s="104">
        <f>L408</f>
        <v>10085.26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297923</v>
      </c>
      <c r="H647" s="104">
        <f>L208+L226+L244</f>
        <v>297923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88752</v>
      </c>
      <c r="H648" s="104">
        <f>(J257+J338)-(J255+J336)</f>
        <v>88752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297923</v>
      </c>
      <c r="H649" s="104">
        <f>H598</f>
        <v>297923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10000</v>
      </c>
      <c r="H655" s="104">
        <f>K266+K347</f>
        <v>10000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7844988.3499999996</v>
      </c>
      <c r="G660" s="19">
        <f>(L229+L309+L359)</f>
        <v>0</v>
      </c>
      <c r="H660" s="19">
        <f>(L247+L328+L360)</f>
        <v>0</v>
      </c>
      <c r="I660" s="19">
        <f>SUM(F660:H660)</f>
        <v>7844988.3499999996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122844.37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122844.37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297923</v>
      </c>
      <c r="G662" s="19">
        <f>(L226+L306)-(J226+J306)</f>
        <v>0</v>
      </c>
      <c r="H662" s="19">
        <f>(L244+L325)-(J244+J325)</f>
        <v>0</v>
      </c>
      <c r="I662" s="19">
        <f>SUM(F662:H662)</f>
        <v>297923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123357.95000000001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123357.95000000001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7300863.0299999993</v>
      </c>
      <c r="G664" s="19">
        <f>G660-SUM(G661:G663)</f>
        <v>0</v>
      </c>
      <c r="H664" s="19">
        <f>H660-SUM(H661:H663)</f>
        <v>0</v>
      </c>
      <c r="I664" s="19">
        <f>I660-SUM(I661:I663)</f>
        <v>7300863.0299999993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537.9</v>
      </c>
      <c r="G665" s="248">
        <v>0</v>
      </c>
      <c r="H665" s="248">
        <v>0</v>
      </c>
      <c r="I665" s="19">
        <f>SUM(F665:H665)</f>
        <v>537.9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13572.9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13572.9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13572.9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13572.9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22" sqref="C2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Brookline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2289033.17</v>
      </c>
      <c r="C9" s="229">
        <f>'DOE25'!G197+'DOE25'!G215+'DOE25'!G233+'DOE25'!G276+'DOE25'!G295+'DOE25'!G314</f>
        <v>961443.16</v>
      </c>
    </row>
    <row r="10" spans="1:3" x14ac:dyDescent="0.2">
      <c r="A10" t="s">
        <v>779</v>
      </c>
      <c r="B10" s="240">
        <v>2076868.82</v>
      </c>
      <c r="C10" s="240">
        <v>871444.8</v>
      </c>
    </row>
    <row r="11" spans="1:3" x14ac:dyDescent="0.2">
      <c r="A11" t="s">
        <v>780</v>
      </c>
      <c r="B11" s="240">
        <f>105259.43+20192</f>
        <v>125451.43</v>
      </c>
      <c r="C11" s="240">
        <v>52638.86</v>
      </c>
    </row>
    <row r="12" spans="1:3" x14ac:dyDescent="0.2">
      <c r="A12" t="s">
        <v>781</v>
      </c>
      <c r="B12" s="240">
        <v>89036.92</v>
      </c>
      <c r="C12" s="240">
        <v>37359.5</v>
      </c>
    </row>
    <row r="13" spans="1:3" x14ac:dyDescent="0.2">
      <c r="A13" t="str">
        <f>IF(B9=B13,IF(C9=C13,"Check Total OK","Check Total Error"),"Check Total Error")</f>
        <v>Check Total Error</v>
      </c>
      <c r="B13" s="231">
        <f>SUM(B10:B12)</f>
        <v>2291357.17</v>
      </c>
      <c r="C13" s="231">
        <f>SUM(C10:C12)</f>
        <v>961443.16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981731.83</v>
      </c>
      <c r="C18" s="229">
        <f>'DOE25'!G198+'DOE25'!G216+'DOE25'!G234+'DOE25'!G277+'DOE25'!G296+'DOE25'!G315</f>
        <v>383612.6</v>
      </c>
    </row>
    <row r="19" spans="1:3" x14ac:dyDescent="0.2">
      <c r="A19" t="s">
        <v>779</v>
      </c>
      <c r="B19" s="240">
        <f>494536.53+75084.4</f>
        <v>569620.93000000005</v>
      </c>
      <c r="C19" s="240">
        <v>222579.9</v>
      </c>
    </row>
    <row r="20" spans="1:3" x14ac:dyDescent="0.2">
      <c r="A20" t="s">
        <v>780</v>
      </c>
      <c r="B20" s="240">
        <f>325119.81+4109.09</f>
        <v>329228.90000000002</v>
      </c>
      <c r="C20" s="240">
        <v>128646.5</v>
      </c>
    </row>
    <row r="21" spans="1:3" x14ac:dyDescent="0.2">
      <c r="A21" t="s">
        <v>781</v>
      </c>
      <c r="B21" s="240">
        <v>82882</v>
      </c>
      <c r="C21" s="240">
        <v>32386.2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981731.83000000007</v>
      </c>
      <c r="C22" s="231">
        <f>SUM(C19:C21)</f>
        <v>383612.60000000003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F14" sqref="F14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Brookline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4609187.6500000004</v>
      </c>
      <c r="D5" s="20">
        <f>SUM('DOE25'!L197:L200)+SUM('DOE25'!L215:L218)+SUM('DOE25'!L233:L236)-F5-G5</f>
        <v>4606064.66</v>
      </c>
      <c r="E5" s="243"/>
      <c r="F5" s="255">
        <f>SUM('DOE25'!J197:J200)+SUM('DOE25'!J215:J218)+SUM('DOE25'!J233:J236)</f>
        <v>1964.49</v>
      </c>
      <c r="G5" s="53">
        <f>SUM('DOE25'!K197:K200)+SUM('DOE25'!K215:K218)+SUM('DOE25'!K233:K236)</f>
        <v>1158.5</v>
      </c>
      <c r="H5" s="259"/>
    </row>
    <row r="6" spans="1:9" x14ac:dyDescent="0.2">
      <c r="A6" s="32">
        <v>2100</v>
      </c>
      <c r="B6" t="s">
        <v>801</v>
      </c>
      <c r="C6" s="245">
        <f t="shared" si="0"/>
        <v>756884.57000000007</v>
      </c>
      <c r="D6" s="20">
        <f>'DOE25'!L202+'DOE25'!L220+'DOE25'!L238-F6-G6</f>
        <v>756726.57000000007</v>
      </c>
      <c r="E6" s="243"/>
      <c r="F6" s="255">
        <f>'DOE25'!J202+'DOE25'!J220+'DOE25'!J238</f>
        <v>158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281781.33999999997</v>
      </c>
      <c r="D7" s="20">
        <f>'DOE25'!L203+'DOE25'!L221+'DOE25'!L239-F7-G7</f>
        <v>242249.51999999996</v>
      </c>
      <c r="E7" s="243"/>
      <c r="F7" s="255">
        <f>'DOE25'!J203+'DOE25'!J221+'DOE25'!J239</f>
        <v>39531.82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180080.65000000002</v>
      </c>
      <c r="D8" s="243"/>
      <c r="E8" s="20">
        <f>'DOE25'!L204+'DOE25'!L222+'DOE25'!L240-F8-G8-D9-D11</f>
        <v>176445.74000000002</v>
      </c>
      <c r="F8" s="255">
        <f>'DOE25'!J204+'DOE25'!J222+'DOE25'!J240</f>
        <v>0</v>
      </c>
      <c r="G8" s="53">
        <f>'DOE25'!K204+'DOE25'!K222+'DOE25'!K240</f>
        <v>3634.91</v>
      </c>
      <c r="H8" s="259"/>
    </row>
    <row r="9" spans="1:9" x14ac:dyDescent="0.2">
      <c r="A9" s="32">
        <v>2310</v>
      </c>
      <c r="B9" t="s">
        <v>818</v>
      </c>
      <c r="C9" s="245">
        <f t="shared" si="0"/>
        <v>34820.75</v>
      </c>
      <c r="D9" s="244">
        <v>34820.75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9650</v>
      </c>
      <c r="D10" s="243"/>
      <c r="E10" s="244">
        <v>9650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81820.350000000006</v>
      </c>
      <c r="D11" s="244">
        <v>81820.350000000006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612962.54</v>
      </c>
      <c r="D12" s="20">
        <f>'DOE25'!L205+'DOE25'!L223+'DOE25'!L241-F12-G12</f>
        <v>610972.59000000008</v>
      </c>
      <c r="E12" s="243"/>
      <c r="F12" s="255">
        <f>'DOE25'!J205+'DOE25'!J223+'DOE25'!J241</f>
        <v>399.95</v>
      </c>
      <c r="G12" s="53">
        <f>'DOE25'!K205+'DOE25'!K223+'DOE25'!K241</f>
        <v>1590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1976.8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1976.8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646116.22</v>
      </c>
      <c r="D14" s="20">
        <f>'DOE25'!L207+'DOE25'!L225+'DOE25'!L243-F14-G14</f>
        <v>642532.99</v>
      </c>
      <c r="E14" s="243"/>
      <c r="F14" s="255">
        <f>'DOE25'!J207+'DOE25'!J225+'DOE25'!J243</f>
        <v>3583.23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297923</v>
      </c>
      <c r="D15" s="20">
        <f>'DOE25'!L208+'DOE25'!L226+'DOE25'!L244-F15-G15</f>
        <v>297923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57548.160000000003</v>
      </c>
      <c r="D22" s="243"/>
      <c r="E22" s="243"/>
      <c r="F22" s="255">
        <f>'DOE25'!L255+'DOE25'!L336</f>
        <v>57548.160000000003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480325</v>
      </c>
      <c r="D25" s="243"/>
      <c r="E25" s="243"/>
      <c r="F25" s="258"/>
      <c r="G25" s="256"/>
      <c r="H25" s="257">
        <f>'DOE25'!L260+'DOE25'!L261+'DOE25'!L341+'DOE25'!L342</f>
        <v>480325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152022.51</v>
      </c>
      <c r="D29" s="20">
        <f>'DOE25'!L358+'DOE25'!L359+'DOE25'!L360-'DOE25'!I367-F29-G29</f>
        <v>148433.68000000002</v>
      </c>
      <c r="E29" s="243"/>
      <c r="F29" s="255">
        <f>'DOE25'!J358+'DOE25'!J359+'DOE25'!J360</f>
        <v>3588.83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182977.35</v>
      </c>
      <c r="D31" s="20">
        <f>'DOE25'!L290+'DOE25'!L309+'DOE25'!L328+'DOE25'!L333+'DOE25'!L334+'DOE25'!L335-F31-G31</f>
        <v>139862.84</v>
      </c>
      <c r="E31" s="243"/>
      <c r="F31" s="255">
        <f>'DOE25'!J290+'DOE25'!J309+'DOE25'!J328+'DOE25'!J333+'DOE25'!J334+'DOE25'!J335</f>
        <v>43114.51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7561406.9499999993</v>
      </c>
      <c r="E33" s="246">
        <f>SUM(E5:E31)</f>
        <v>186095.74000000002</v>
      </c>
      <c r="F33" s="246">
        <f>SUM(F5:F31)</f>
        <v>149888.99</v>
      </c>
      <c r="G33" s="246">
        <f>SUM(G5:G31)</f>
        <v>8360.2099999999991</v>
      </c>
      <c r="H33" s="246">
        <f>SUM(H5:H31)</f>
        <v>480325</v>
      </c>
    </row>
    <row r="35" spans="2:8" ht="12" thickBot="1" x14ac:dyDescent="0.25">
      <c r="B35" s="253" t="s">
        <v>847</v>
      </c>
      <c r="D35" s="254">
        <f>E33</f>
        <v>186095.74000000002</v>
      </c>
      <c r="E35" s="249"/>
    </row>
    <row r="36" spans="2:8" ht="12" thickTop="1" x14ac:dyDescent="0.2">
      <c r="B36" t="s">
        <v>815</v>
      </c>
      <c r="D36" s="20">
        <f>D33</f>
        <v>7561406.9499999993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109" sqref="C109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Brookline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414450.53</v>
      </c>
      <c r="D8" s="95">
        <f>'DOE25'!G9</f>
        <v>12273.75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345306.63</v>
      </c>
      <c r="D11" s="95">
        <f>'DOE25'!G12</f>
        <v>40139.629999999997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3847.09</v>
      </c>
      <c r="D12" s="95">
        <f>'DOE25'!G13</f>
        <v>1974.75</v>
      </c>
      <c r="E12" s="95">
        <f>'DOE25'!H13</f>
        <v>117238.68</v>
      </c>
      <c r="F12" s="95">
        <f>'DOE25'!I13</f>
        <v>0</v>
      </c>
      <c r="G12" s="95">
        <f>'DOE25'!J13</f>
        <v>45616.17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45141.310000000005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5573.64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7588.75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-1026.8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815307.51</v>
      </c>
      <c r="D18" s="41">
        <f>SUM(D8:D17)</f>
        <v>59961.77</v>
      </c>
      <c r="E18" s="41">
        <f>SUM(E8:E17)</f>
        <v>117238.68</v>
      </c>
      <c r="F18" s="41">
        <f>SUM(F8:F17)</f>
        <v>0</v>
      </c>
      <c r="G18" s="41">
        <f>SUM(G8:G17)</f>
        <v>45616.17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278442.05</v>
      </c>
      <c r="D21" s="95">
        <f>'DOE25'!G22</f>
        <v>0</v>
      </c>
      <c r="E21" s="95">
        <f>'DOE25'!H22</f>
        <v>110700.81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5270.15</v>
      </c>
      <c r="D22" s="95">
        <f>'DOE25'!G23</f>
        <v>610.59</v>
      </c>
      <c r="E22" s="95">
        <f>'DOE25'!H23</f>
        <v>2699.89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29242.68</v>
      </c>
      <c r="D23" s="95">
        <f>'DOE25'!G24</f>
        <v>1885.34</v>
      </c>
      <c r="E23" s="95">
        <f>'DOE25'!H24</f>
        <v>3837.98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26323.64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3202.5699999999997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2710</v>
      </c>
      <c r="D29" s="95">
        <f>'DOE25'!G30</f>
        <v>7576.97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345191.09</v>
      </c>
      <c r="D31" s="41">
        <f>SUM(D21:D30)</f>
        <v>10072.9</v>
      </c>
      <c r="E31" s="41">
        <f>SUM(E21:E30)</f>
        <v>117238.68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5573.64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7589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44315.23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45616.17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61433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391094.42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470116.42</v>
      </c>
      <c r="D50" s="41">
        <f>SUM(D34:D49)</f>
        <v>49888.87</v>
      </c>
      <c r="E50" s="41">
        <f>SUM(E34:E49)</f>
        <v>0</v>
      </c>
      <c r="F50" s="41">
        <f>SUM(F34:F49)</f>
        <v>0</v>
      </c>
      <c r="G50" s="41">
        <f>SUM(G34:G49)</f>
        <v>45616.17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815307.51</v>
      </c>
      <c r="D51" s="41">
        <f>D50+D31</f>
        <v>59961.770000000004</v>
      </c>
      <c r="E51" s="41">
        <f>E50+E31</f>
        <v>117238.68</v>
      </c>
      <c r="F51" s="41">
        <f>F50+F31</f>
        <v>0</v>
      </c>
      <c r="G51" s="41">
        <f>G50+G31</f>
        <v>45616.17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5252147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153143.5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697.97</v>
      </c>
      <c r="D59" s="95">
        <f>'DOE25'!G96</f>
        <v>15</v>
      </c>
      <c r="E59" s="95">
        <f>'DOE25'!H96</f>
        <v>0</v>
      </c>
      <c r="F59" s="95">
        <f>'DOE25'!I96</f>
        <v>0</v>
      </c>
      <c r="G59" s="95">
        <f>'DOE25'!J96</f>
        <v>85.26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122844.37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92864.950000000012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246706.42</v>
      </c>
      <c r="D62" s="130">
        <f>SUM(D57:D61)</f>
        <v>122859.37</v>
      </c>
      <c r="E62" s="130">
        <f>SUM(E57:E61)</f>
        <v>0</v>
      </c>
      <c r="F62" s="130">
        <f>SUM(F57:F61)</f>
        <v>0</v>
      </c>
      <c r="G62" s="130">
        <f>SUM(G57:G61)</f>
        <v>85.26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5498853.4199999999</v>
      </c>
      <c r="D63" s="22">
        <f>D56+D62</f>
        <v>122859.37</v>
      </c>
      <c r="E63" s="22">
        <f>E56+E62</f>
        <v>0</v>
      </c>
      <c r="F63" s="22">
        <f>F56+F62</f>
        <v>0</v>
      </c>
      <c r="G63" s="22">
        <f>G56+G62</f>
        <v>85.26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1925071.08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572852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2497923.08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61913.66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57247.87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2104.2800000000002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119161.53</v>
      </c>
      <c r="D78" s="130">
        <f>SUM(D72:D77)</f>
        <v>2104.2800000000002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2617084.61</v>
      </c>
      <c r="D81" s="130">
        <f>SUM(D79:D80)+D78+D70</f>
        <v>2104.2800000000002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9802.74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23013.86</v>
      </c>
      <c r="D87" s="24" t="s">
        <v>289</v>
      </c>
      <c r="E87" s="95">
        <f>SUM('DOE25'!H149:H152)</f>
        <v>53067.229999999996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1807.27</v>
      </c>
      <c r="D88" s="95">
        <f>SUM('DOE25'!G153:G161)</f>
        <v>29793.809999999998</v>
      </c>
      <c r="E88" s="95">
        <f>SUM('DOE25'!H153:H161)</f>
        <v>132610.01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24821.13</v>
      </c>
      <c r="D91" s="131">
        <f>SUM(D85:D90)</f>
        <v>39596.549999999996</v>
      </c>
      <c r="E91" s="131">
        <f>SUM(E85:E90)</f>
        <v>185677.24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10000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10000</v>
      </c>
    </row>
    <row r="104" spans="1:7" ht="12.75" thickTop="1" thickBot="1" x14ac:dyDescent="0.25">
      <c r="A104" s="33" t="s">
        <v>765</v>
      </c>
      <c r="C104" s="86">
        <f>C63+C81+C91+C103</f>
        <v>8140759.1599999992</v>
      </c>
      <c r="D104" s="86">
        <f>D63+D81+D91+D103</f>
        <v>164560.19999999998</v>
      </c>
      <c r="E104" s="86">
        <f>E63+E81+E91+E103</f>
        <v>185677.24</v>
      </c>
      <c r="F104" s="86">
        <f>F63+F81+F91+F103</f>
        <v>0</v>
      </c>
      <c r="G104" s="86">
        <f>G63+G81+G103</f>
        <v>10085.26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3306393.35</v>
      </c>
      <c r="D109" s="24" t="s">
        <v>289</v>
      </c>
      <c r="E109" s="95">
        <f>('DOE25'!L276)+('DOE25'!L295)+('DOE25'!L314)</f>
        <v>61920.679999999993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1302794.3000000003</v>
      </c>
      <c r="D110" s="24" t="s">
        <v>289</v>
      </c>
      <c r="E110" s="95">
        <f>('DOE25'!L277)+('DOE25'!L296)+('DOE25'!L315)</f>
        <v>80937.180000000008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4609187.6500000004</v>
      </c>
      <c r="D115" s="86">
        <f>SUM(D109:D114)</f>
        <v>0</v>
      </c>
      <c r="E115" s="86">
        <f>SUM(E109:E114)</f>
        <v>142857.85999999999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756884.57000000007</v>
      </c>
      <c r="D118" s="24" t="s">
        <v>289</v>
      </c>
      <c r="E118" s="95">
        <f>+('DOE25'!L281)+('DOE25'!L300)+('DOE25'!L319)</f>
        <v>12153.98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281781.33999999997</v>
      </c>
      <c r="D119" s="24" t="s">
        <v>289</v>
      </c>
      <c r="E119" s="95">
        <f>+('DOE25'!L282)+('DOE25'!L301)+('DOE25'!L320)</f>
        <v>27965.510000000002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296721.75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612962.54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1976.8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646116.22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297923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158457.13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2894366.22</v>
      </c>
      <c r="D128" s="86">
        <f>SUM(D118:D127)</f>
        <v>158457.13</v>
      </c>
      <c r="E128" s="86">
        <f>SUM(E118:E127)</f>
        <v>40119.490000000005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57548.160000000003</v>
      </c>
      <c r="D130" s="24" t="s">
        <v>289</v>
      </c>
      <c r="E130" s="129">
        <f>'DOE25'!L336</f>
        <v>0</v>
      </c>
      <c r="F130" s="129">
        <f>SUM('DOE25'!L374:'DOE25'!L380)</f>
        <v>8575.5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222591.51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257733.49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2699.8900000000003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10085.26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-85.260000000000218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547873.16</v>
      </c>
      <c r="D144" s="141">
        <f>SUM(D130:D143)</f>
        <v>0</v>
      </c>
      <c r="E144" s="141">
        <f>SUM(E130:E143)</f>
        <v>2699.8900000000003</v>
      </c>
      <c r="F144" s="141">
        <f>SUM(F130:F143)</f>
        <v>8575.5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8051427.0300000012</v>
      </c>
      <c r="D145" s="86">
        <f>(D115+D128+D144)</f>
        <v>158457.13</v>
      </c>
      <c r="E145" s="86">
        <f>(E115+E128+E144)</f>
        <v>185677.24</v>
      </c>
      <c r="F145" s="86">
        <f>(F115+F128+F144)</f>
        <v>8575.5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20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8/12</v>
      </c>
      <c r="C152" s="152" t="str">
        <f>'DOE25'!G491</f>
        <v>8/99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8/22</v>
      </c>
      <c r="C153" s="152" t="str">
        <f>'DOE25'!G492</f>
        <v>8/19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408500</v>
      </c>
      <c r="C154" s="137">
        <f>'DOE25'!G493</f>
        <v>5367912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2.3199999999999998</v>
      </c>
      <c r="C155" s="137">
        <f>'DOE25'!G494</f>
        <v>5.2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305000</v>
      </c>
      <c r="C156" s="137">
        <f>'DOE25'!G495</f>
        <v>826409.94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1131409.94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40000</v>
      </c>
      <c r="C158" s="137">
        <f>'DOE25'!G497</f>
        <v>182591.51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222591.51</v>
      </c>
    </row>
    <row r="159" spans="1:9" x14ac:dyDescent="0.2">
      <c r="A159" s="22" t="s">
        <v>35</v>
      </c>
      <c r="B159" s="137">
        <f>'DOE25'!F498</f>
        <v>265000</v>
      </c>
      <c r="C159" s="137">
        <f>'DOE25'!G498</f>
        <v>643818.42999999993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908818.42999999993</v>
      </c>
    </row>
    <row r="160" spans="1:9" x14ac:dyDescent="0.2">
      <c r="A160" s="22" t="s">
        <v>36</v>
      </c>
      <c r="B160" s="137">
        <f>'DOE25'!F499</f>
        <v>32750</v>
      </c>
      <c r="C160" s="137">
        <f>'DOE25'!G499</f>
        <v>1085231.57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1117981.57</v>
      </c>
    </row>
    <row r="161" spans="1:7" x14ac:dyDescent="0.2">
      <c r="A161" s="22" t="s">
        <v>37</v>
      </c>
      <c r="B161" s="137">
        <f>'DOE25'!F500</f>
        <v>297750</v>
      </c>
      <c r="C161" s="137">
        <f>'DOE25'!G500</f>
        <v>1729050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2026800</v>
      </c>
    </row>
    <row r="162" spans="1:7" x14ac:dyDescent="0.2">
      <c r="A162" s="22" t="s">
        <v>38</v>
      </c>
      <c r="B162" s="137">
        <f>'DOE25'!F501</f>
        <v>40000</v>
      </c>
      <c r="C162" s="137">
        <f>'DOE25'!G501</f>
        <v>173870.25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213870.25</v>
      </c>
    </row>
    <row r="163" spans="1:7" x14ac:dyDescent="0.2">
      <c r="A163" s="22" t="s">
        <v>39</v>
      </c>
      <c r="B163" s="137">
        <f>'DOE25'!F502</f>
        <v>8300</v>
      </c>
      <c r="C163" s="137">
        <f>'DOE25'!G502</f>
        <v>258579.75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266879.75</v>
      </c>
    </row>
    <row r="164" spans="1:7" x14ac:dyDescent="0.2">
      <c r="A164" s="22" t="s">
        <v>246</v>
      </c>
      <c r="B164" s="137">
        <f>'DOE25'!F503</f>
        <v>48300</v>
      </c>
      <c r="C164" s="137">
        <f>'DOE25'!G503</f>
        <v>432450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480750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3"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Brookline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13573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13573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3368314</v>
      </c>
      <c r="D10" s="182">
        <f>ROUND((C10/$C$28)*100,1)</f>
        <v>42.2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1383731</v>
      </c>
      <c r="D11" s="182">
        <f>ROUND((C11/$C$28)*100,1)</f>
        <v>17.3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769039</v>
      </c>
      <c r="D15" s="182">
        <f t="shared" ref="D15:D27" si="0">ROUND((C15/$C$28)*100,1)</f>
        <v>9.6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309747</v>
      </c>
      <c r="D16" s="182">
        <f t="shared" si="0"/>
        <v>3.9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296722</v>
      </c>
      <c r="D17" s="182">
        <f t="shared" si="0"/>
        <v>3.7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612963</v>
      </c>
      <c r="D18" s="182">
        <f t="shared" si="0"/>
        <v>7.7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1977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646116</v>
      </c>
      <c r="D20" s="182">
        <f t="shared" si="0"/>
        <v>8.1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297923</v>
      </c>
      <c r="D21" s="182">
        <f t="shared" si="0"/>
        <v>3.7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257733</v>
      </c>
      <c r="D25" s="182">
        <f t="shared" si="0"/>
        <v>3.2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35612.630000000005</v>
      </c>
      <c r="D27" s="182">
        <f t="shared" si="0"/>
        <v>0.4</v>
      </c>
    </row>
    <row r="28" spans="1:4" x14ac:dyDescent="0.2">
      <c r="B28" s="187" t="s">
        <v>723</v>
      </c>
      <c r="C28" s="180">
        <f>SUM(C10:C27)</f>
        <v>7979877.6299999999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66124</v>
      </c>
    </row>
    <row r="30" spans="1:4" x14ac:dyDescent="0.2">
      <c r="B30" s="187" t="s">
        <v>729</v>
      </c>
      <c r="C30" s="180">
        <f>SUM(C28:C29)</f>
        <v>8046001.6299999999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222592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5252147</v>
      </c>
      <c r="D35" s="182">
        <f t="shared" ref="D35:D40" si="1">ROUND((C35/$C$41)*100,1)</f>
        <v>62.8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246806.6799999997</v>
      </c>
      <c r="D36" s="182">
        <f t="shared" si="1"/>
        <v>2.9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2497923</v>
      </c>
      <c r="D37" s="182">
        <f t="shared" si="1"/>
        <v>29.9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121266</v>
      </c>
      <c r="D38" s="182">
        <f t="shared" si="1"/>
        <v>1.4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250095</v>
      </c>
      <c r="D39" s="182">
        <f t="shared" si="1"/>
        <v>3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8368237.6799999997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5" sqref="C5:M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Brookline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>
        <v>3</v>
      </c>
      <c r="B4" s="219">
        <v>24</v>
      </c>
      <c r="C4" s="285" t="s">
        <v>917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G15"/>
  <sheetViews>
    <sheetView workbookViewId="0">
      <selection activeCell="G10" sqref="G10"/>
    </sheetView>
  </sheetViews>
  <sheetFormatPr defaultRowHeight="11.25" x14ac:dyDescent="0.2"/>
  <sheetData>
    <row r="5" spans="5:7" x14ac:dyDescent="0.2">
      <c r="E5">
        <v>2291357.17</v>
      </c>
      <c r="G5">
        <v>961443.16</v>
      </c>
    </row>
    <row r="6" spans="5:7" x14ac:dyDescent="0.2">
      <c r="E6">
        <f>2076868.82/E5</f>
        <v>0.90639244164627553</v>
      </c>
      <c r="G6">
        <f>E6*G5</f>
        <v>871444.81329651072</v>
      </c>
    </row>
    <row r="7" spans="5:7" x14ac:dyDescent="0.2">
      <c r="E7">
        <f>125451.43/E5</f>
        <v>5.4749836316439482E-2</v>
      </c>
      <c r="G7">
        <f>E7*G5</f>
        <v>52638.855637560337</v>
      </c>
    </row>
    <row r="8" spans="5:7" x14ac:dyDescent="0.2">
      <c r="E8">
        <f>89036.92/E5</f>
        <v>3.8857722037285006E-2</v>
      </c>
      <c r="G8">
        <f>E8*G5</f>
        <v>37359.491065928938</v>
      </c>
    </row>
    <row r="9" spans="5:7" x14ac:dyDescent="0.2">
      <c r="G9">
        <f>SUM(G6:G8)</f>
        <v>961443.16</v>
      </c>
    </row>
    <row r="12" spans="5:7" x14ac:dyDescent="0.2">
      <c r="E12">
        <v>981731.83</v>
      </c>
      <c r="G12">
        <v>383612.6</v>
      </c>
    </row>
    <row r="13" spans="5:7" x14ac:dyDescent="0.2">
      <c r="E13">
        <f>569620.93/E12</f>
        <v>0.58022049667066422</v>
      </c>
      <c r="G13">
        <f>E13*G12</f>
        <v>222579.89330112483</v>
      </c>
    </row>
    <row r="14" spans="5:7" x14ac:dyDescent="0.2">
      <c r="E14">
        <f>329228.9/E12</f>
        <v>0.33535522628414732</v>
      </c>
      <c r="G14">
        <f>E14*G12</f>
        <v>128646.49027845009</v>
      </c>
    </row>
    <row r="15" spans="5:7" x14ac:dyDescent="0.2">
      <c r="E15">
        <f>82882/E12</f>
        <v>8.4424277045188609E-2</v>
      </c>
      <c r="G15">
        <f>E15*G12</f>
        <v>32386.216420425117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2016-10-12T12:57:51Z</cp:lastPrinted>
  <dcterms:created xsi:type="dcterms:W3CDTF">1997-12-04T19:04:30Z</dcterms:created>
  <dcterms:modified xsi:type="dcterms:W3CDTF">2016-11-07T18:26:16Z</dcterms:modified>
</cp:coreProperties>
</file>