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19440" windowHeight="91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562" i="1" l="1"/>
  <c r="H611" i="1" l="1"/>
  <c r="G611" i="1"/>
  <c r="F611" i="1"/>
  <c r="H521" i="1"/>
  <c r="J286" i="1"/>
  <c r="G521" i="1"/>
  <c r="H531" i="1"/>
  <c r="G531" i="1"/>
  <c r="G567" i="1"/>
  <c r="H244" i="1" l="1"/>
  <c r="H208" i="1"/>
  <c r="H282" i="1"/>
  <c r="K285" i="1"/>
  <c r="I282" i="1"/>
  <c r="G282" i="1"/>
  <c r="F282" i="1"/>
  <c r="I277" i="1"/>
  <c r="I276" i="1"/>
  <c r="H207" i="1"/>
  <c r="H205" i="1"/>
  <c r="H204" i="1"/>
  <c r="H202" i="1"/>
  <c r="H200" i="1"/>
  <c r="H198" i="1"/>
  <c r="C45" i="2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E13" i="13" s="1"/>
  <c r="C13" i="13" s="1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C114" i="2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E125" i="2" s="1"/>
  <c r="L295" i="1"/>
  <c r="L296" i="1"/>
  <c r="L297" i="1"/>
  <c r="L298" i="1"/>
  <c r="L309" i="1" s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H162" i="1"/>
  <c r="I147" i="1"/>
  <c r="I162" i="1"/>
  <c r="C11" i="10"/>
  <c r="L250" i="1"/>
  <c r="C113" i="2" s="1"/>
  <c r="L332" i="1"/>
  <c r="L254" i="1"/>
  <c r="L268" i="1"/>
  <c r="L269" i="1"/>
  <c r="L349" i="1"/>
  <c r="L350" i="1"/>
  <c r="I665" i="1"/>
  <c r="I670" i="1"/>
  <c r="G662" i="1"/>
  <c r="H662" i="1"/>
  <c r="I669" i="1"/>
  <c r="C42" i="10"/>
  <c r="L374" i="1"/>
  <c r="L375" i="1"/>
  <c r="L376" i="1"/>
  <c r="F130" i="2" s="1"/>
  <c r="L377" i="1"/>
  <c r="L378" i="1"/>
  <c r="L379" i="1"/>
  <c r="L380" i="1"/>
  <c r="B2" i="10"/>
  <c r="L344" i="1"/>
  <c r="E134" i="2" s="1"/>
  <c r="L345" i="1"/>
  <c r="L346" i="1"/>
  <c r="E137" i="2" s="1"/>
  <c r="L347" i="1"/>
  <c r="K351" i="1"/>
  <c r="L521" i="1"/>
  <c r="F549" i="1" s="1"/>
  <c r="L522" i="1"/>
  <c r="F550" i="1" s="1"/>
  <c r="F552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E112" i="2"/>
  <c r="E113" i="2"/>
  <c r="D115" i="2"/>
  <c r="F115" i="2"/>
  <c r="G115" i="2"/>
  <c r="E119" i="2"/>
  <c r="E120" i="2"/>
  <c r="E123" i="2"/>
  <c r="E124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G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F257" i="1" s="1"/>
  <c r="F271" i="1" s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G408" i="1" s="1"/>
  <c r="H645" i="1" s="1"/>
  <c r="H407" i="1"/>
  <c r="H408" i="1" s="1"/>
  <c r="H644" i="1" s="1"/>
  <c r="I407" i="1"/>
  <c r="F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F460" i="1"/>
  <c r="F461" i="1" s="1"/>
  <c r="H639" i="1" s="1"/>
  <c r="G460" i="1"/>
  <c r="G461" i="1" s="1"/>
  <c r="H640" i="1" s="1"/>
  <c r="H460" i="1"/>
  <c r="F470" i="1"/>
  <c r="G470" i="1"/>
  <c r="H470" i="1"/>
  <c r="I470" i="1"/>
  <c r="I476" i="1" s="1"/>
  <c r="H625" i="1" s="1"/>
  <c r="J470" i="1"/>
  <c r="F474" i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G643" i="1"/>
  <c r="J643" i="1" s="1"/>
  <c r="H643" i="1"/>
  <c r="G644" i="1"/>
  <c r="G645" i="1"/>
  <c r="G650" i="1"/>
  <c r="G651" i="1"/>
  <c r="G652" i="1"/>
  <c r="H652" i="1"/>
  <c r="G653" i="1"/>
  <c r="H653" i="1"/>
  <c r="G654" i="1"/>
  <c r="H654" i="1"/>
  <c r="H655" i="1"/>
  <c r="I257" i="1"/>
  <c r="I271" i="1" s="1"/>
  <c r="E8" i="13"/>
  <c r="C8" i="13" s="1"/>
  <c r="D50" i="2"/>
  <c r="G62" i="2"/>
  <c r="E78" i="2"/>
  <c r="H112" i="1"/>
  <c r="I169" i="1"/>
  <c r="J476" i="1"/>
  <c r="H626" i="1" s="1"/>
  <c r="F476" i="1"/>
  <c r="H622" i="1" s="1"/>
  <c r="G476" i="1"/>
  <c r="H623" i="1" s="1"/>
  <c r="J140" i="1"/>
  <c r="G22" i="2"/>
  <c r="H140" i="1"/>
  <c r="H338" i="1"/>
  <c r="H352" i="1" s="1"/>
  <c r="F338" i="1"/>
  <c r="F352" i="1" s="1"/>
  <c r="G36" i="2"/>
  <c r="K605" i="1" l="1"/>
  <c r="G648" i="1" s="1"/>
  <c r="C13" i="10"/>
  <c r="J623" i="1"/>
  <c r="L524" i="1"/>
  <c r="J641" i="1"/>
  <c r="L427" i="1"/>
  <c r="L419" i="1"/>
  <c r="F78" i="2"/>
  <c r="D62" i="2"/>
  <c r="D63" i="2" s="1"/>
  <c r="C26" i="10"/>
  <c r="H545" i="1"/>
  <c r="L328" i="1"/>
  <c r="E121" i="2"/>
  <c r="L290" i="1"/>
  <c r="F660" i="1" s="1"/>
  <c r="L560" i="1"/>
  <c r="H461" i="1"/>
  <c r="H641" i="1" s="1"/>
  <c r="G257" i="1"/>
  <c r="G271" i="1" s="1"/>
  <c r="L570" i="1"/>
  <c r="L544" i="1"/>
  <c r="I408" i="1"/>
  <c r="F192" i="1"/>
  <c r="I52" i="1"/>
  <c r="H620" i="1" s="1"/>
  <c r="L270" i="1"/>
  <c r="K551" i="1"/>
  <c r="H552" i="1"/>
  <c r="G552" i="1"/>
  <c r="J651" i="1"/>
  <c r="D15" i="13"/>
  <c r="C15" i="13" s="1"/>
  <c r="C20" i="10"/>
  <c r="C16" i="10"/>
  <c r="H257" i="1"/>
  <c r="H271" i="1" s="1"/>
  <c r="C121" i="2"/>
  <c r="D5" i="13"/>
  <c r="C5" i="13" s="1"/>
  <c r="L211" i="1"/>
  <c r="J640" i="1"/>
  <c r="J639" i="1"/>
  <c r="L393" i="1"/>
  <c r="C138" i="2" s="1"/>
  <c r="G661" i="1"/>
  <c r="H169" i="1"/>
  <c r="D31" i="2"/>
  <c r="D18" i="2"/>
  <c r="H52" i="1"/>
  <c r="H619" i="1" s="1"/>
  <c r="J622" i="1"/>
  <c r="J617" i="1"/>
  <c r="J257" i="1"/>
  <c r="J271" i="1" s="1"/>
  <c r="F22" i="13"/>
  <c r="C22" i="13" s="1"/>
  <c r="D19" i="13"/>
  <c r="C19" i="13" s="1"/>
  <c r="D12" i="13"/>
  <c r="C12" i="13" s="1"/>
  <c r="K598" i="1"/>
  <c r="G647" i="1" s="1"/>
  <c r="I571" i="1"/>
  <c r="J571" i="1"/>
  <c r="K571" i="1"/>
  <c r="L539" i="1"/>
  <c r="I460" i="1"/>
  <c r="I452" i="1"/>
  <c r="I461" i="1" s="1"/>
  <c r="H642" i="1" s="1"/>
  <c r="I446" i="1"/>
  <c r="G642" i="1" s="1"/>
  <c r="L433" i="1"/>
  <c r="C143" i="2"/>
  <c r="C131" i="2"/>
  <c r="F169" i="1"/>
  <c r="F112" i="1"/>
  <c r="L401" i="1"/>
  <c r="C139" i="2" s="1"/>
  <c r="L362" i="1"/>
  <c r="C25" i="10"/>
  <c r="E114" i="2"/>
  <c r="E122" i="2"/>
  <c r="E118" i="2"/>
  <c r="C10" i="10"/>
  <c r="H661" i="1"/>
  <c r="C21" i="10"/>
  <c r="C18" i="10"/>
  <c r="C118" i="2"/>
  <c r="L247" i="1"/>
  <c r="H660" i="1" s="1"/>
  <c r="H664" i="1" s="1"/>
  <c r="L229" i="1"/>
  <c r="C12" i="10"/>
  <c r="C122" i="2"/>
  <c r="C17" i="10"/>
  <c r="K550" i="1"/>
  <c r="K545" i="1"/>
  <c r="G545" i="1"/>
  <c r="J545" i="1"/>
  <c r="J644" i="1"/>
  <c r="L256" i="1"/>
  <c r="K257" i="1"/>
  <c r="K271" i="1" s="1"/>
  <c r="C119" i="2"/>
  <c r="C29" i="10"/>
  <c r="K549" i="1"/>
  <c r="K552" i="1" s="1"/>
  <c r="J655" i="1"/>
  <c r="F571" i="1"/>
  <c r="L565" i="1"/>
  <c r="H571" i="1"/>
  <c r="L534" i="1"/>
  <c r="I545" i="1"/>
  <c r="J645" i="1"/>
  <c r="J634" i="1"/>
  <c r="K338" i="1"/>
  <c r="K352" i="1" s="1"/>
  <c r="D91" i="2"/>
  <c r="C91" i="2"/>
  <c r="C78" i="2"/>
  <c r="F18" i="2"/>
  <c r="A31" i="12"/>
  <c r="D29" i="13"/>
  <c r="C29" i="13" s="1"/>
  <c r="D14" i="13"/>
  <c r="C14" i="13" s="1"/>
  <c r="D7" i="13"/>
  <c r="C7" i="13" s="1"/>
  <c r="D6" i="13"/>
  <c r="C6" i="13" s="1"/>
  <c r="E16" i="13"/>
  <c r="C16" i="13" s="1"/>
  <c r="G164" i="2"/>
  <c r="G156" i="2"/>
  <c r="E31" i="2"/>
  <c r="C18" i="2"/>
  <c r="G157" i="2"/>
  <c r="E103" i="2"/>
  <c r="D81" i="2"/>
  <c r="C70" i="2"/>
  <c r="E62" i="2"/>
  <c r="E63" i="2" s="1"/>
  <c r="A40" i="12"/>
  <c r="D18" i="13"/>
  <c r="C18" i="13" s="1"/>
  <c r="D17" i="13"/>
  <c r="C17" i="13" s="1"/>
  <c r="E109" i="2"/>
  <c r="C62" i="2"/>
  <c r="F661" i="1"/>
  <c r="C19" i="10"/>
  <c r="C15" i="10"/>
  <c r="G112" i="1"/>
  <c r="C81" i="2"/>
  <c r="L382" i="1"/>
  <c r="G636" i="1" s="1"/>
  <c r="J636" i="1" s="1"/>
  <c r="I552" i="1"/>
  <c r="G649" i="1"/>
  <c r="J649" i="1" s="1"/>
  <c r="J338" i="1"/>
  <c r="J352" i="1" s="1"/>
  <c r="D127" i="2"/>
  <c r="D128" i="2" s="1"/>
  <c r="D145" i="2" s="1"/>
  <c r="C124" i="2"/>
  <c r="C120" i="2"/>
  <c r="C111" i="2"/>
  <c r="C115" i="2" s="1"/>
  <c r="C56" i="2"/>
  <c r="F662" i="1"/>
  <c r="I662" i="1" s="1"/>
  <c r="K503" i="1"/>
  <c r="C35" i="10"/>
  <c r="E33" i="13"/>
  <c r="D35" i="13" s="1"/>
  <c r="H25" i="13"/>
  <c r="E81" i="2"/>
  <c r="E104" i="2" s="1"/>
  <c r="F81" i="2"/>
  <c r="L351" i="1"/>
  <c r="H647" i="1"/>
  <c r="J647" i="1" s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G63" i="2"/>
  <c r="G104" i="2" s="1"/>
  <c r="J618" i="1"/>
  <c r="G42" i="2"/>
  <c r="G50" i="2" s="1"/>
  <c r="J51" i="1"/>
  <c r="G16" i="2"/>
  <c r="G18" i="2" s="1"/>
  <c r="J19" i="1"/>
  <c r="G621" i="1" s="1"/>
  <c r="F545" i="1"/>
  <c r="H434" i="1"/>
  <c r="J620" i="1"/>
  <c r="J619" i="1"/>
  <c r="D103" i="2"/>
  <c r="I140" i="1"/>
  <c r="I193" i="1" s="1"/>
  <c r="G630" i="1" s="1"/>
  <c r="J630" i="1" s="1"/>
  <c r="A22" i="12"/>
  <c r="J652" i="1"/>
  <c r="G571" i="1"/>
  <c r="I434" i="1"/>
  <c r="G434" i="1"/>
  <c r="I663" i="1"/>
  <c r="C27" i="10"/>
  <c r="G635" i="1"/>
  <c r="J635" i="1" s="1"/>
  <c r="L571" i="1" l="1"/>
  <c r="J642" i="1"/>
  <c r="F33" i="13"/>
  <c r="L338" i="1"/>
  <c r="L352" i="1" s="1"/>
  <c r="G633" i="1" s="1"/>
  <c r="J633" i="1" s="1"/>
  <c r="G672" i="1"/>
  <c r="C5" i="10" s="1"/>
  <c r="C141" i="2"/>
  <c r="C144" i="2" s="1"/>
  <c r="E115" i="2"/>
  <c r="D104" i="2"/>
  <c r="G51" i="2"/>
  <c r="L545" i="1"/>
  <c r="E128" i="2"/>
  <c r="F104" i="2"/>
  <c r="D31" i="13"/>
  <c r="C31" i="13" s="1"/>
  <c r="H648" i="1"/>
  <c r="J648" i="1" s="1"/>
  <c r="C36" i="10"/>
  <c r="I661" i="1"/>
  <c r="E51" i="2"/>
  <c r="H667" i="1"/>
  <c r="H672" i="1"/>
  <c r="C6" i="10" s="1"/>
  <c r="L257" i="1"/>
  <c r="L271" i="1" s="1"/>
  <c r="G632" i="1" s="1"/>
  <c r="J632" i="1" s="1"/>
  <c r="C28" i="10"/>
  <c r="D24" i="10" s="1"/>
  <c r="F193" i="1"/>
  <c r="G627" i="1" s="1"/>
  <c r="J627" i="1" s="1"/>
  <c r="C128" i="2"/>
  <c r="C145" i="2" s="1"/>
  <c r="I660" i="1"/>
  <c r="I664" i="1" s="1"/>
  <c r="I672" i="1" s="1"/>
  <c r="C7" i="10" s="1"/>
  <c r="F664" i="1"/>
  <c r="C25" i="13"/>
  <c r="H33" i="13"/>
  <c r="L408" i="1"/>
  <c r="C63" i="2"/>
  <c r="C104" i="2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E145" i="2"/>
  <c r="D23" i="10"/>
  <c r="D10" i="10"/>
  <c r="C30" i="10"/>
  <c r="D26" i="10"/>
  <c r="D16" i="10"/>
  <c r="D13" i="10"/>
  <c r="D11" i="10"/>
  <c r="D21" i="10"/>
  <c r="D22" i="10"/>
  <c r="D27" i="10"/>
  <c r="D20" i="10"/>
  <c r="D18" i="10"/>
  <c r="D15" i="10"/>
  <c r="D17" i="10"/>
  <c r="D25" i="10"/>
  <c r="D12" i="10"/>
  <c r="D19" i="10"/>
  <c r="F672" i="1"/>
  <c r="C4" i="10" s="1"/>
  <c r="F667" i="1"/>
  <c r="G637" i="1"/>
  <c r="J637" i="1" s="1"/>
  <c r="H646" i="1"/>
  <c r="J646" i="1" s="1"/>
  <c r="I667" i="1"/>
  <c r="C41" i="10"/>
  <c r="D38" i="10" s="1"/>
  <c r="D28" i="10" l="1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<sst xmlns="http://schemas.openxmlformats.org/spreadsheetml/2006/main" count="3955" uniqueCount="913">
  <si>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</si>
  <si>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</si>
  <si>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</si>
  <si>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</si>
  <si>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</si>
  <si>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</si>
  <si>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</si>
  <si>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</si>
  <si>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</si>
  <si>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</si>
  <si>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</si>
  <si>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</si>
  <si>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</si>
  <si>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</si>
  <si>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</si>
  <si>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</si>
  <si>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</si>
  <si>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</si>
  <si>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</si>
  <si>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</si>
  <si>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</si>
  <si>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</si>
  <si>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</si>
  <si>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</si>
  <si>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</si>
  <si>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</si>
  <si>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</si>
  <si>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</si>
  <si>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</si>
  <si>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</si>
  <si>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</si>
  <si>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</si>
  <si>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</si>
  <si>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</si>
  <si>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</si>
  <si>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</si>
  <si>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</si>
  <si>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</si>
  <si>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</si>
  <si>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</si>
  <si>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</si>
  <si>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</si>
  <si>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</si>
  <si>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</si>
  <si>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</si>
  <si>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</si>
  <si>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</si>
  <si>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</si>
  <si>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</si>
  <si>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</si>
  <si>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</si>
  <si>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</si>
  <si>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</si>
  <si>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</si>
  <si>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</si>
  <si>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</si>
  <si>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</si>
  <si>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</si>
  <si>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</si>
  <si>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</si>
  <si>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</si>
  <si>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</si>
  <si>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</si>
  <si>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</si>
  <si>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</si>
  <si>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</si>
  <si>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</si>
  <si>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</si>
  <si>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</si>
  <si>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</si>
  <si>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</si>
  <si>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</si>
  <si>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</si>
  <si>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</si>
  <si>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</si>
  <si>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</si>
  <si>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</si>
  <si>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</si>
  <si>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</si>
  <si>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</si>
  <si>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</si>
  <si>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</si>
  <si>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</si>
  <si>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</si>
  <si>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</si>
  <si>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</si>
  <si>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</si>
  <si>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</si>
  <si>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</si>
  <si>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</si>
  <si>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</si>
  <si>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</si>
  <si>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</si>
  <si>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</si>
  <si>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</si>
  <si>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</si>
  <si>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</si>
  <si>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</si>
  <si>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</si>
  <si>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</si>
  <si>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</si>
  <si>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</si>
  <si>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</si>
  <si>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</si>
  <si>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</si>
  <si>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</si>
  <si>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</si>
  <si>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</si>
  <si>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</si>
  <si>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</si>
  <si>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</si>
  <si>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</si>
  <si>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</si>
  <si>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</si>
  <si>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</si>
  <si>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</si>
  <si>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</si>
  <si>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</si>
  <si>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</si>
  <si>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</si>
  <si>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</si>
  <si>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</si>
  <si>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</si>
  <si>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</si>
  <si>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</si>
  <si>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</si>
  <si>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</si>
  <si>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</si>
  <si>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</si>
  <si>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</si>
  <si>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</si>
  <si>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</si>
  <si>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</si>
  <si>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</si>
  <si>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</si>
  <si>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</si>
  <si>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</si>
  <si>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</si>
  <si>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</si>
  <si>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</si>
  <si>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</si>
  <si>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</si>
  <si>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</si>
  <si>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</si>
  <si>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</si>
  <si>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</si>
  <si>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</si>
  <si>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</si>
  <si>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</si>
  <si>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</si>
  <si>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</si>
  <si>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</si>
  <si>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</si>
  <si>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</si>
  <si>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</si>
  <si>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</si>
  <si>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</si>
  <si>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</si>
  <si>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</si>
  <si>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</si>
  <si>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</si>
  <si>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</si>
  <si>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</si>
  <si>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</si>
  <si>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</si>
  <si>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</si>
  <si>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</si>
  <si>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</si>
  <si>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</si>
  <si>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</si>
  <si>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</si>
  <si>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</si>
  <si>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</si>
  <si>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</si>
  <si>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</si>
  <si>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</si>
  <si>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</si>
  <si>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</si>
  <si>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</si>
  <si>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</si>
  <si>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</si>
  <si>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</si>
  <si>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</si>
  <si>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</si>
  <si>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</si>
  <si>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</si>
  <si>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</si>
  <si>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</si>
  <si>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</si>
  <si>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</si>
  <si>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</si>
  <si>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</si>
  <si>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</si>
  <si>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</si>
  <si>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</si>
  <si>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</si>
  <si>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</si>
  <si>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</si>
  <si>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</si>
  <si>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</si>
  <si>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</si>
  <si>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</si>
  <si>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</si>
  <si>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</si>
  <si>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</si>
  <si>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</si>
  <si>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</si>
  <si>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</si>
  <si>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</si>
  <si>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</si>
  <si>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</si>
  <si>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</si>
  <si>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</si>
  <si>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</si>
  <si>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</si>
  <si>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</si>
  <si>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</si>
  <si>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</si>
  <si>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</si>
  <si>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</si>
  <si>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</si>
  <si>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</si>
  <si>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</si>
  <si>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</si>
  <si>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</si>
  <si>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</si>
  <si>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</si>
  <si>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</si>
  <si>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</si>
  <si>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</si>
  <si>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</si>
  <si>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</si>
  <si>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</si>
  <si>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</si>
  <si>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</si>
  <si>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</si>
  <si>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</si>
  <si>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</si>
  <si>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</si>
  <si>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</si>
  <si>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</si>
  <si>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</si>
  <si>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</si>
  <si>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</si>
  <si>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</si>
  <si>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</si>
  <si>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</si>
  <si>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</si>
  <si>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</si>
  <si>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</si>
  <si>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</si>
  <si>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</si>
  <si>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</si>
  <si>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</si>
  <si>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</si>
  <si>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</si>
  <si>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</si>
  <si>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</si>
  <si>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</si>
  <si>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</si>
  <si>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</si>
  <si>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</si>
  <si>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</si>
  <si>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</si>
  <si>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</si>
  <si>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</si>
  <si>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</si>
  <si>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</si>
  <si>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</si>
  <si>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</si>
  <si>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</si>
  <si>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</si>
  <si>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</si>
  <si>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</si>
  <si>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</si>
  <si>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</si>
  <si>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</si>
  <si>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</si>
  <si>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</si>
  <si>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</si>
  <si>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</si>
  <si>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</si>
  <si>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</si>
  <si>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</si>
  <si>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</si>
  <si>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</si>
  <si>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</si>
  <si>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</si>
  <si>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</si>
  <si>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</si>
  <si>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</si>
  <si>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</si>
  <si>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</si>
  <si>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</si>
  <si>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</si>
  <si>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</si>
  <si>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</si>
  <si>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</si>
  <si>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</si>
  <si>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</si>
  <si>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</si>
  <si>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</si>
  <si>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</si>
  <si>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</si>
  <si>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</si>
  <si>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</si>
  <si>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</si>
  <si>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</si>
  <si>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</si>
  <si>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</si>
  <si>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</si>
  <si>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</si>
  <si>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</si>
  <si>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</si>
  <si>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</si>
  <si>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</si>
  <si>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</si>
  <si>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</si>
  <si>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</si>
  <si>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</si>
  <si>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</si>
  <si>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</si>
  <si>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</si>
  <si>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</si>
  <si>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</si>
  <si>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</si>
  <si>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</si>
  <si>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</si>
  <si>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</si>
  <si>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</si>
  <si>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</si>
  <si>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</si>
  <si>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</si>
  <si>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</si>
  <si>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</si>
  <si>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</si>
  <si>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</si>
  <si>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</si>
  <si>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</si>
  <si>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</si>
  <si>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</si>
  <si>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</si>
  <si>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</si>
  <si>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</si>
  <si>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</si>
  <si>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</si>
  <si>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</si>
  <si>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</si>
  <si>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</si>
  <si>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</si>
  <si>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</si>
  <si>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</si>
  <si>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</si>
  <si>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</si>
  <si>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</si>
  <si>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</si>
  <si>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</si>
  <si>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</si>
  <si>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</si>
  <si>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</si>
  <si>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</si>
  <si>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</si>
  <si>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</si>
  <si>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</si>
  <si>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</si>
  <si>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</si>
  <si>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</si>
  <si>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</si>
  <si>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</si>
  <si>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</si>
  <si>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</si>
  <si>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</si>
  <si>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</si>
  <si>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</si>
  <si>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</si>
  <si>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</si>
  <si>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</si>
  <si>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</si>
  <si>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</si>
  <si>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</si>
  <si>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</si>
  <si>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</si>
  <si>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</si>
  <si>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</si>
  <si>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</si>
  <si>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</si>
  <si>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</si>
  <si>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</si>
  <si>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</si>
  <si>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</si>
  <si>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</si>
  <si>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</si>
  <si>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</si>
  <si>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</si>
  <si>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</si>
  <si>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</si>
  <si>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</si>
  <si>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</si>
  <si>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</si>
  <si>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</si>
  <si>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</si>
  <si>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</si>
  <si>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</si>
  <si>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</si>
  <si>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</si>
  <si>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</si>
  <si>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</si>
  <si>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</si>
  <si>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</si>
  <si>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</si>
  <si>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</si>
  <si>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</si>
  <si>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</si>
  <si>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</si>
  <si>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</si>
  <si>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</si>
  <si>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</si>
  <si>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</si>
  <si>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</si>
  <si>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</si>
  <si>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</si>
  <si>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</si>
  <si>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</si>
  <si>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</si>
  <si>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</si>
  <si>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</si>
  <si>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</si>
  <si>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</si>
  <si>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</si>
  <si>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</si>
  <si>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</si>
  <si>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</si>
  <si>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</si>
  <si>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</si>
  <si>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</si>
  <si>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</si>
  <si>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</si>
  <si>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</si>
  <si>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</si>
  <si>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</si>
  <si>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</si>
  <si>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</si>
  <si>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</si>
  <si>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</si>
  <si>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</si>
  <si>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</si>
  <si>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</si>
  <si>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</si>
  <si>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</si>
  <si>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</si>
  <si>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</si>
  <si>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</si>
  <si>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</si>
  <si>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</si>
  <si>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</si>
  <si>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</si>
  <si>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</si>
  <si>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</si>
  <si>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</si>
  <si>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</si>
  <si>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</si>
  <si>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</si>
  <si>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</si>
  <si>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</si>
  <si>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</si>
  <si>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</si>
  <si>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</si>
  <si>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</si>
  <si>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</si>
  <si>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</si>
  <si>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</si>
  <si>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</si>
  <si>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</si>
  <si>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</si>
  <si>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</si>
  <si>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</si>
  <si>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</si>
  <si>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</si>
  <si>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</si>
  <si>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</si>
  <si>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</si>
  <si>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</si>
  <si>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</si>
  <si>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</si>
  <si>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</si>
  <si>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</si>
  <si>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</si>
  <si>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</si>
  <si>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</si>
  <si>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</si>
  <si>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</si>
  <si>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</si>
  <si>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</si>
  <si>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</si>
  <si>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</si>
  <si>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</si>
  <si>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</si>
  <si>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</si>
  <si>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</si>
  <si>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</si>
  <si>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</si>
  <si>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</si>
  <si>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</si>
  <si>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</si>
  <si>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</si>
  <si>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</si>
  <si>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</si>
  <si>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</si>
  <si>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</si>
  <si>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</si>
  <si>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</si>
  <si>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</si>
  <si>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</si>
  <si>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</si>
  <si>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</si>
  <si>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</si>
  <si>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</si>
  <si>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</si>
  <si>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</si>
  <si>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</si>
  <si>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</si>
  <si>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</si>
  <si>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</si>
  <si>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</si>
  <si>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</si>
  <si>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</si>
  <si>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</si>
  <si>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</si>
  <si>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</si>
  <si>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</si>
  <si>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</si>
  <si>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</si>
  <si>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</si>
  <si>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</si>
  <si>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</si>
  <si>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</si>
  <si>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</si>
  <si>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</si>
  <si>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</si>
  <si>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</si>
  <si>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</si>
  <si>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</si>
  <si>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</si>
  <si>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</si>
  <si>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</si>
  <si>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</si>
  <si>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</si>
  <si>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</si>
  <si>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</si>
  <si>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</si>
  <si>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</si>
  <si>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</si>
  <si>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</si>
  <si>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</si>
  <si>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</si>
  <si>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</si>
  <si>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</si>
  <si>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</si>
  <si>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</si>
  <si>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</si>
  <si>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</si>
  <si>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</si>
  <si>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</si>
  <si>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</si>
  <si>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</si>
  <si>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</si>
  <si>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</si>
  <si>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</si>
  <si>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</si>
  <si>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</si>
  <si>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</si>
  <si>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</si>
  <si>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</si>
  <si>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</si>
  <si>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</si>
  <si>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</si>
  <si>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</si>
  <si>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</si>
  <si>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</si>
  <si>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</si>
  <si>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</si>
  <si>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</si>
  <si>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</si>
  <si>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</si>
  <si>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</si>
  <si>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</si>
  <si>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</si>
  <si>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</si>
  <si>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</si>
  <si>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</si>
  <si>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</si>
  <si>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</si>
  <si>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</si>
  <si>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</si>
  <si>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</si>
  <si>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</si>
  <si>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</si>
  <si>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</si>
  <si>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</si>
  <si>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</si>
  <si>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</si>
  <si>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</si>
  <si>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</si>
  <si>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</si>
  <si>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</si>
  <si>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</si>
  <si>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</si>
  <si>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</si>
  <si>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</si>
  <si>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</si>
  <si>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</si>
  <si>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</si>
  <si>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</si>
  <si>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</si>
  <si>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</si>
  <si>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</si>
  <si>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</si>
  <si>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</si>
  <si>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</si>
  <si>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</si>
  <si>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</si>
  <si>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</si>
  <si>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</si>
  <si>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</si>
  <si>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</si>
  <si>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</si>
  <si>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</si>
  <si>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</si>
  <si>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</si>
  <si>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</si>
  <si>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</si>
  <si>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</si>
  <si>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</si>
  <si>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</si>
  <si>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</si>
  <si>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</si>
  <si>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</si>
  <si>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</si>
  <si>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</si>
  <si>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</si>
  <si>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</si>
  <si>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</si>
  <si>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</si>
  <si>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</si>
  <si>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</si>
  <si>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</si>
  <si>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</si>
  <si>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</si>
  <si>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</si>
  <si>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</si>
  <si>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</si>
  <si>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</si>
  <si>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</si>
  <si>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</si>
  <si>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</si>
  <si>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</si>
  <si>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</si>
  <si>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</si>
  <si>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</si>
  <si>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</si>
  <si>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</si>
  <si>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</si>
  <si>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</si>
  <si>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</si>
  <si>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</si>
  <si>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</si>
  <si>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</si>
  <si>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</si>
  <si>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</si>
  <si>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</si>
  <si>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</si>
  <si>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</si>
  <si>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</si>
  <si>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</si>
  <si>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</si>
  <si>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</si>
  <si>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</si>
  <si>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</si>
  <si>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</si>
  <si>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</si>
  <si>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</si>
  <si>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</si>
  <si>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</si>
  <si>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</si>
  <si>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</si>
  <si>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</si>
  <si>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</si>
  <si>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</si>
  <si>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</si>
  <si>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</si>
  <si>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</si>
  <si>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</si>
  <si>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</si>
  <si>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</si>
  <si>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</si>
  <si>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</si>
  <si>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</si>
  <si>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</si>
  <si>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</si>
  <si>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</si>
  <si>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</si>
  <si>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</si>
  <si>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</si>
  <si>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</si>
  <si>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</si>
  <si>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</si>
  <si>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</si>
  <si>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</si>
  <si>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</si>
  <si>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</si>
  <si>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</si>
  <si>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</si>
  <si>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</si>
  <si>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</si>
  <si>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</si>
  <si>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</si>
  <si>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</si>
  <si>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</si>
  <si>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</si>
  <si>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</si>
  <si>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</si>
  <si>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</si>
  <si>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</si>
  <si>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</si>
  <si>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</si>
  <si>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</si>
  <si>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</si>
  <si>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</si>
  <si>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</si>
  <si>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</si>
  <si>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</si>
  <si>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</si>
  <si>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</si>
  <si>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</si>
  <si>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</si>
  <si>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</si>
  <si>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</si>
  <si>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</si>
  <si>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</si>
  <si>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</si>
  <si>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</si>
  <si>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</si>
  <si>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</si>
  <si>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</si>
  <si>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</si>
  <si>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</si>
  <si>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</si>
  <si>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</si>
  <si>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</si>
  <si>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</si>
  <si>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</si>
  <si>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</si>
  <si>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</si>
  <si>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</si>
  <si>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</si>
  <si>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</si>
  <si>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</si>
  <si>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</si>
  <si>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</si>
  <si>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</si>
  <si>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</si>
  <si>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</si>
  <si>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</si>
  <si>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</si>
  <si>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</si>
  <si>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</si>
  <si>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</si>
  <si>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</si>
  <si>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</si>
  <si>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</si>
  <si>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</si>
  <si>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</si>
  <si>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</si>
  <si>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</si>
  <si>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</si>
  <si>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</si>
  <si>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</si>
  <si>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</si>
  <si>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</si>
  <si>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</si>
  <si>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</si>
  <si>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</si>
  <si>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</si>
  <si>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</si>
  <si>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</si>
  <si>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</si>
  <si>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</si>
  <si>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</si>
  <si>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</si>
  <si>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</si>
  <si>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</si>
  <si>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</si>
  <si>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</si>
  <si>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</si>
  <si>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</si>
  <si>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</si>
  <si>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</si>
  <si>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</si>
  <si>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</si>
  <si>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</si>
  <si>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</si>
  <si>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</si>
  <si>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</si>
  <si>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</si>
  <si>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</si>
  <si>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</si>
  <si>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</si>
  <si>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</si>
  <si>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</si>
  <si>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</si>
  <si>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</si>
  <si>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</si>
  <si>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</si>
  <si>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</si>
  <si>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</si>
  <si>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</si>
  <si>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</si>
  <si>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</si>
  <si>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</si>
  <si>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</si>
  <si>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</si>
  <si>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</si>
  <si>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</si>
  <si>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</si>
  <si>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</si>
  <si>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</si>
  <si>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</si>
  <si>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</si>
  <si>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</si>
  <si>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</si>
  <si>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</si>
  <si>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</si>
  <si>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</si>
  <si>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</si>
  <si>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</si>
  <si>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</si>
  <si>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</si>
  <si>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</si>
  <si>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</si>
  <si>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</si>
  <si>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</si>
  <si>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</si>
  <si>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</si>
  <si>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</si>
  <si>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</si>
  <si>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</si>
  <si>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</si>
  <si>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</si>
  <si>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</si>
  <si>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</si>
  <si>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</si>
  <si>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</si>
  <si>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</si>
  <si>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</si>
  <si>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</si>
  <si>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</si>
  <si>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</si>
  <si>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</si>
  <si>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</si>
  <si>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</si>
  <si>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</si>
  <si>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</si>
  <si>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</si>
  <si>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</si>
  <si>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</si>
  <si>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</si>
  <si>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</si>
  <si>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</si>
  <si>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</si>
  <si>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</si>
  <si>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</si>
  <si>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</si>
  <si>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</si>
  <si>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</si>
  <si>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</si>
  <si>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</si>
  <si>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</si>
  <si>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</si>
  <si>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</si>
  <si>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</si>
  <si>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</si>
  <si>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</si>
  <si>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</si>
  <si>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</si>
  <si>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</si>
  <si>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</si>
  <si>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</si>
  <si>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</si>
  <si>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</si>
  <si>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</si>
  <si>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</si>
  <si>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</si>
  <si>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</si>
  <si>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</si>
  <si>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</si>
  <si>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</si>
  <si>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</si>
  <si>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</si>
  <si>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</si>
  <si>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</si>
  <si>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</si>
  <si>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</si>
  <si>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</si>
  <si>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</si>
  <si>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</si>
  <si>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</si>
  <si>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</si>
  <si>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</si>
  <si>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</si>
  <si>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</si>
  <si>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</si>
  <si>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</si>
  <si>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Candia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</si>
</sst>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79</v>
      </c>
      <c r="C2" s="21">
        <v>79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1041097.21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37190.129999999997</v>
      </c>
      <c r="G12" s="18">
        <v>15076.93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552.47</v>
      </c>
      <c r="G13" s="18">
        <v>2131.13</v>
      </c>
      <c r="H13" s="18">
        <v>40115.480000000003</v>
      </c>
      <c r="I13" s="18"/>
      <c r="J13" s="67">
        <f>SUM(I442)</f>
        <v>530127.48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>
        <v>1997.95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1078839.8099999998</v>
      </c>
      <c r="G19" s="41">
        <f>SUM(G9:G18)</f>
        <v>17208.060000000001</v>
      </c>
      <c r="H19" s="41">
        <f>SUM(H9:H18)</f>
        <v>42113.43</v>
      </c>
      <c r="I19" s="41">
        <f>SUM(I9:I18)</f>
        <v>0</v>
      </c>
      <c r="J19" s="41">
        <f>SUM(J9:J18)</f>
        <v>530127.48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15076.93</v>
      </c>
      <c r="G22" s="18"/>
      <c r="H22" s="18">
        <v>37190.129999999997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90642.43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9732.11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2926.04</v>
      </c>
      <c r="H30" s="18">
        <v>4923.3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115451.46999999999</v>
      </c>
      <c r="G32" s="41">
        <f>SUM(G22:G31)</f>
        <v>2926.04</v>
      </c>
      <c r="H32" s="41">
        <f>SUM(H22:H31)</f>
        <v>42113.43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27000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578325.9</v>
      </c>
      <c r="G48" s="18">
        <v>14282.02</v>
      </c>
      <c r="H48" s="18"/>
      <c r="I48" s="18"/>
      <c r="J48" s="13">
        <f>SUM(I459)</f>
        <v>530127.48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52002.53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306059.90999999997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963388.34000000008</v>
      </c>
      <c r="G51" s="41">
        <f>SUM(G35:G50)</f>
        <v>14282.02</v>
      </c>
      <c r="H51" s="41">
        <f>SUM(H35:H50)</f>
        <v>0</v>
      </c>
      <c r="I51" s="41">
        <f>SUM(I35:I50)</f>
        <v>0</v>
      </c>
      <c r="J51" s="41">
        <f>SUM(J35:J50)</f>
        <v>530127.48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1078839.81</v>
      </c>
      <c r="G52" s="41">
        <f>G51+G32</f>
        <v>17208.060000000001</v>
      </c>
      <c r="H52" s="41">
        <f>H51+H32</f>
        <v>42113.43</v>
      </c>
      <c r="I52" s="41">
        <f>I51+I32</f>
        <v>0</v>
      </c>
      <c r="J52" s="41">
        <f>J51+J32</f>
        <v>530127.48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5382182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5382182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7000.25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7000.25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205.07</v>
      </c>
      <c r="G96" s="18"/>
      <c r="H96" s="18"/>
      <c r="I96" s="18"/>
      <c r="J96" s="18">
        <v>1609.85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88125.32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1500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2281.34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13771.13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286.64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15762.839999999998</v>
      </c>
      <c r="G111" s="41">
        <f>SUM(G96:G110)</f>
        <v>88125.32</v>
      </c>
      <c r="H111" s="41">
        <f>SUM(H96:H110)</f>
        <v>2281.34</v>
      </c>
      <c r="I111" s="41">
        <f>SUM(I96:I110)</f>
        <v>0</v>
      </c>
      <c r="J111" s="41">
        <f>SUM(J96:J110)</f>
        <v>1609.85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5404945.0899999999</v>
      </c>
      <c r="G112" s="41">
        <f>G60+G111</f>
        <v>88125.32</v>
      </c>
      <c r="H112" s="41">
        <f>H60+H79+H94+H111</f>
        <v>2281.34</v>
      </c>
      <c r="I112" s="41">
        <f>I60+I111</f>
        <v>0</v>
      </c>
      <c r="J112" s="41">
        <f>J60+J111</f>
        <v>1609.85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1099407.22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914072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2013479.22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38466.76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1797.26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38466.76</v>
      </c>
      <c r="G136" s="41">
        <f>SUM(G123:G135)</f>
        <v>1797.26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2051945.98</v>
      </c>
      <c r="G140" s="41">
        <f>G121+SUM(G136:G137)</f>
        <v>1797.26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30745.8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33633.53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43170.76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92455.84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16330.01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11341.71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16330.01</v>
      </c>
      <c r="G162" s="41">
        <f>SUM(G150:G161)</f>
        <v>43170.76</v>
      </c>
      <c r="H162" s="41">
        <f>SUM(H150:H161)</f>
        <v>168176.87999999998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>
        <v>355.45</v>
      </c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16330.01</v>
      </c>
      <c r="G169" s="41">
        <f>G147+G162+SUM(G163:G168)</f>
        <v>43170.76</v>
      </c>
      <c r="H169" s="41">
        <f>H147+H162+SUM(H163:H168)</f>
        <v>168532.33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30000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30000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30000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7473221.0800000001</v>
      </c>
      <c r="G193" s="47">
        <f>G112+G140+G169+G192</f>
        <v>133093.34</v>
      </c>
      <c r="H193" s="47">
        <f>H112+H140+H169+H192</f>
        <v>170813.66999999998</v>
      </c>
      <c r="I193" s="47">
        <f>I112+I140+I169+I192</f>
        <v>0</v>
      </c>
      <c r="J193" s="47">
        <f>J112+J140+J192</f>
        <v>31609.85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1438696.37</v>
      </c>
      <c r="G197" s="18">
        <v>760808.03</v>
      </c>
      <c r="H197" s="18">
        <v>10501.1</v>
      </c>
      <c r="I197" s="18">
        <v>31946.79</v>
      </c>
      <c r="J197" s="18">
        <v>10830.87</v>
      </c>
      <c r="K197" s="18"/>
      <c r="L197" s="19">
        <f>SUM(F197:K197)</f>
        <v>2252783.1600000006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417077.67</v>
      </c>
      <c r="G198" s="18">
        <v>162324.59</v>
      </c>
      <c r="H198" s="18">
        <f>51637.72+429.78+118449.08</f>
        <v>170516.58000000002</v>
      </c>
      <c r="I198" s="18">
        <v>1694.46</v>
      </c>
      <c r="J198" s="18"/>
      <c r="K198" s="18">
        <v>795</v>
      </c>
      <c r="L198" s="19">
        <f>SUM(F198:K198)</f>
        <v>752408.3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23700</v>
      </c>
      <c r="G200" s="18">
        <v>4295.13</v>
      </c>
      <c r="H200" s="18">
        <f>6180+5000</f>
        <v>11180</v>
      </c>
      <c r="I200" s="18">
        <v>1528.45</v>
      </c>
      <c r="J200" s="18">
        <v>3530.75</v>
      </c>
      <c r="K200" s="18">
        <v>658.5</v>
      </c>
      <c r="L200" s="19">
        <f>SUM(F200:K200)</f>
        <v>44892.83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122539.91</v>
      </c>
      <c r="G202" s="18">
        <v>73064.5</v>
      </c>
      <c r="H202" s="18">
        <f>210872.43+276+919.16</f>
        <v>212067.59</v>
      </c>
      <c r="I202" s="18">
        <v>2523.17</v>
      </c>
      <c r="J202" s="18">
        <v>195.15</v>
      </c>
      <c r="K202" s="18">
        <v>1345.4</v>
      </c>
      <c r="L202" s="19">
        <f t="shared" ref="L202:L208" si="0">SUM(F202:K202)</f>
        <v>411735.72000000003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65393.19</v>
      </c>
      <c r="G203" s="18">
        <v>16416.419999999998</v>
      </c>
      <c r="H203" s="18">
        <v>1757</v>
      </c>
      <c r="I203" s="18">
        <v>13633.1</v>
      </c>
      <c r="J203" s="18"/>
      <c r="K203" s="18"/>
      <c r="L203" s="19">
        <f t="shared" si="0"/>
        <v>97199.71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6650</v>
      </c>
      <c r="G204" s="18">
        <v>662.26</v>
      </c>
      <c r="H204" s="18">
        <f>166300.5+151083</f>
        <v>317383.5</v>
      </c>
      <c r="I204" s="18">
        <v>4774.2299999999996</v>
      </c>
      <c r="J204" s="18"/>
      <c r="K204" s="18">
        <v>5792.78</v>
      </c>
      <c r="L204" s="19">
        <f t="shared" si="0"/>
        <v>335262.77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209336.71</v>
      </c>
      <c r="G205" s="18">
        <v>125772.26</v>
      </c>
      <c r="H205" s="18">
        <f>5777.95+10877.43</f>
        <v>16655.38</v>
      </c>
      <c r="I205" s="18">
        <v>913.83</v>
      </c>
      <c r="J205" s="18">
        <v>2375</v>
      </c>
      <c r="K205" s="18">
        <v>1780</v>
      </c>
      <c r="L205" s="19">
        <f t="shared" si="0"/>
        <v>356833.18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125585.06</v>
      </c>
      <c r="G207" s="18">
        <v>72080.52</v>
      </c>
      <c r="H207" s="18">
        <f>211031.69+15549</f>
        <v>226580.69</v>
      </c>
      <c r="I207" s="18">
        <v>93698.05</v>
      </c>
      <c r="J207" s="18">
        <v>819.13</v>
      </c>
      <c r="K207" s="18"/>
      <c r="L207" s="19">
        <f t="shared" si="0"/>
        <v>518763.45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9336.14+5432.87+177585.07+110810.27</f>
        <v>303164.35000000003</v>
      </c>
      <c r="I208" s="18"/>
      <c r="J208" s="18"/>
      <c r="K208" s="18"/>
      <c r="L208" s="19">
        <f t="shared" si="0"/>
        <v>303164.35000000003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61200</v>
      </c>
      <c r="G209" s="18">
        <v>27301.81</v>
      </c>
      <c r="H209" s="18">
        <v>787.5</v>
      </c>
      <c r="I209" s="18">
        <v>11107.26</v>
      </c>
      <c r="J209" s="18">
        <v>25222.6</v>
      </c>
      <c r="K209" s="18"/>
      <c r="L209" s="19">
        <f>SUM(F209:K209)</f>
        <v>125619.16999999998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2470178.91</v>
      </c>
      <c r="G211" s="41">
        <f t="shared" si="1"/>
        <v>1242725.52</v>
      </c>
      <c r="H211" s="41">
        <f t="shared" si="1"/>
        <v>1270593.6900000002</v>
      </c>
      <c r="I211" s="41">
        <f t="shared" si="1"/>
        <v>161819.34000000003</v>
      </c>
      <c r="J211" s="41">
        <f t="shared" si="1"/>
        <v>42973.5</v>
      </c>
      <c r="K211" s="41">
        <f t="shared" si="1"/>
        <v>10371.68</v>
      </c>
      <c r="L211" s="41">
        <f t="shared" si="1"/>
        <v>5198662.6400000006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3000</v>
      </c>
      <c r="I216" s="18"/>
      <c r="J216" s="18"/>
      <c r="K216" s="18"/>
      <c r="L216" s="19">
        <f>SUM(F216:K216)</f>
        <v>3000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3000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3000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1372877.8</v>
      </c>
      <c r="I233" s="18"/>
      <c r="J233" s="18"/>
      <c r="K233" s="18"/>
      <c r="L233" s="19">
        <f>SUM(F233:K233)</f>
        <v>1372877.8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551941.07999999996</v>
      </c>
      <c r="I234" s="18"/>
      <c r="J234" s="18"/>
      <c r="K234" s="18"/>
      <c r="L234" s="19">
        <f>SUM(F234:K234)</f>
        <v>551941.07999999996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71034.03+50656.13</f>
        <v>121690.16</v>
      </c>
      <c r="I244" s="18"/>
      <c r="J244" s="18"/>
      <c r="K244" s="18"/>
      <c r="L244" s="19">
        <f t="shared" si="4"/>
        <v>121690.16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2046509.0399999998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2046509.0399999998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2470178.91</v>
      </c>
      <c r="G257" s="41">
        <f t="shared" si="8"/>
        <v>1242725.52</v>
      </c>
      <c r="H257" s="41">
        <f t="shared" si="8"/>
        <v>3320102.73</v>
      </c>
      <c r="I257" s="41">
        <f t="shared" si="8"/>
        <v>161819.34000000003</v>
      </c>
      <c r="J257" s="41">
        <f t="shared" si="8"/>
        <v>42973.5</v>
      </c>
      <c r="K257" s="41">
        <f t="shared" si="8"/>
        <v>10371.68</v>
      </c>
      <c r="L257" s="41">
        <f t="shared" si="8"/>
        <v>7248171.6800000006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30000</v>
      </c>
      <c r="L266" s="19">
        <f t="shared" si="9"/>
        <v>30000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30000</v>
      </c>
      <c r="L270" s="41">
        <f t="shared" si="9"/>
        <v>30000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2470178.91</v>
      </c>
      <c r="G271" s="42">
        <f t="shared" si="11"/>
        <v>1242725.52</v>
      </c>
      <c r="H271" s="42">
        <f t="shared" si="11"/>
        <v>3320102.73</v>
      </c>
      <c r="I271" s="42">
        <f t="shared" si="11"/>
        <v>161819.34000000003</v>
      </c>
      <c r="J271" s="42">
        <f t="shared" si="11"/>
        <v>42973.5</v>
      </c>
      <c r="K271" s="42">
        <f t="shared" si="11"/>
        <v>40371.68</v>
      </c>
      <c r="L271" s="42">
        <f t="shared" si="11"/>
        <v>7278171.6800000006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24572.6</v>
      </c>
      <c r="G276" s="18">
        <v>5623.2</v>
      </c>
      <c r="H276" s="18"/>
      <c r="I276" s="18">
        <f>550+1325.26</f>
        <v>1875.26</v>
      </c>
      <c r="J276" s="18"/>
      <c r="K276" s="18"/>
      <c r="L276" s="19">
        <f>SUM(F276:K276)</f>
        <v>32071.059999999998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28217.42</v>
      </c>
      <c r="G277" s="18">
        <v>2064.14</v>
      </c>
      <c r="H277" s="18">
        <v>15017.5</v>
      </c>
      <c r="I277" s="18">
        <f>2174.34+38.85</f>
        <v>2213.19</v>
      </c>
      <c r="J277" s="18"/>
      <c r="K277" s="18"/>
      <c r="L277" s="19">
        <f>SUM(F277:K277)</f>
        <v>47512.25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28958.13</v>
      </c>
      <c r="I281" s="18">
        <v>123.2</v>
      </c>
      <c r="J281" s="18"/>
      <c r="K281" s="18"/>
      <c r="L281" s="19">
        <f t="shared" ref="L281:L287" si="12">SUM(F281:K281)</f>
        <v>29081.33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1473.57+1701.25</f>
        <v>3174.8199999999997</v>
      </c>
      <c r="G282" s="18">
        <f>320.17+369.36</f>
        <v>689.53</v>
      </c>
      <c r="H282" s="18">
        <f>20194.2+798.75+100+3854.66+6333.64+2256+1957.16</f>
        <v>35494.410000000003</v>
      </c>
      <c r="I282" s="18">
        <f>1368.38+393.7</f>
        <v>1762.0800000000002</v>
      </c>
      <c r="J282" s="18"/>
      <c r="K282" s="18"/>
      <c r="L282" s="19">
        <f t="shared" si="12"/>
        <v>41120.840000000004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f>2493.87+3.61+173.82+58.65</f>
        <v>2729.9500000000003</v>
      </c>
      <c r="L285" s="19">
        <f t="shared" si="12"/>
        <v>2729.9500000000003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>
        <f>11341.71+956.08</f>
        <v>12297.789999999999</v>
      </c>
      <c r="K286" s="18"/>
      <c r="L286" s="19">
        <f t="shared" si="12"/>
        <v>12297.789999999999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>
        <v>355.45</v>
      </c>
      <c r="I288" s="18"/>
      <c r="J288" s="18">
        <v>5645</v>
      </c>
      <c r="K288" s="18"/>
      <c r="L288" s="19">
        <f>SUM(F288:K288)</f>
        <v>6000.45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55964.84</v>
      </c>
      <c r="G290" s="42">
        <f t="shared" si="13"/>
        <v>8376.8700000000008</v>
      </c>
      <c r="H290" s="42">
        <f t="shared" si="13"/>
        <v>79825.490000000005</v>
      </c>
      <c r="I290" s="42">
        <f t="shared" si="13"/>
        <v>5973.73</v>
      </c>
      <c r="J290" s="42">
        <f t="shared" si="13"/>
        <v>17942.79</v>
      </c>
      <c r="K290" s="42">
        <f t="shared" si="13"/>
        <v>2729.9500000000003</v>
      </c>
      <c r="L290" s="41">
        <f t="shared" si="13"/>
        <v>170813.67000000004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55964.84</v>
      </c>
      <c r="G338" s="41">
        <f t="shared" si="20"/>
        <v>8376.8700000000008</v>
      </c>
      <c r="H338" s="41">
        <f t="shared" si="20"/>
        <v>79825.490000000005</v>
      </c>
      <c r="I338" s="41">
        <f t="shared" si="20"/>
        <v>5973.73</v>
      </c>
      <c r="J338" s="41">
        <f t="shared" si="20"/>
        <v>17942.79</v>
      </c>
      <c r="K338" s="41">
        <f t="shared" si="20"/>
        <v>2729.9500000000003</v>
      </c>
      <c r="L338" s="41">
        <f t="shared" si="20"/>
        <v>170813.67000000004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55964.84</v>
      </c>
      <c r="G352" s="41">
        <f>G338</f>
        <v>8376.8700000000008</v>
      </c>
      <c r="H352" s="41">
        <f>H338</f>
        <v>79825.490000000005</v>
      </c>
      <c r="I352" s="41">
        <f>I338</f>
        <v>5973.73</v>
      </c>
      <c r="J352" s="41">
        <f>J338</f>
        <v>17942.79</v>
      </c>
      <c r="K352" s="47">
        <f>K338+K351</f>
        <v>2729.9500000000003</v>
      </c>
      <c r="L352" s="41">
        <f>L338+L351</f>
        <v>170813.67000000004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54367.61</v>
      </c>
      <c r="G358" s="18">
        <v>8952.2800000000007</v>
      </c>
      <c r="H358" s="18">
        <v>4455.29</v>
      </c>
      <c r="I358" s="18">
        <v>61034.8</v>
      </c>
      <c r="J358" s="18">
        <v>12660</v>
      </c>
      <c r="K358" s="18">
        <v>450</v>
      </c>
      <c r="L358" s="13">
        <f>SUM(F358:K358)</f>
        <v>141919.97999999998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54367.61</v>
      </c>
      <c r="G362" s="47">
        <f t="shared" si="22"/>
        <v>8952.2800000000007</v>
      </c>
      <c r="H362" s="47">
        <f t="shared" si="22"/>
        <v>4455.29</v>
      </c>
      <c r="I362" s="47">
        <f t="shared" si="22"/>
        <v>61034.8</v>
      </c>
      <c r="J362" s="47">
        <f t="shared" si="22"/>
        <v>12660</v>
      </c>
      <c r="K362" s="47">
        <f t="shared" si="22"/>
        <v>450</v>
      </c>
      <c r="L362" s="47">
        <f t="shared" si="22"/>
        <v>141919.97999999998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57024</v>
      </c>
      <c r="G367" s="18"/>
      <c r="H367" s="18"/>
      <c r="I367" s="56">
        <f>SUM(F367:H367)</f>
        <v>57024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4010.8</v>
      </c>
      <c r="G368" s="63"/>
      <c r="H368" s="63"/>
      <c r="I368" s="56">
        <f>SUM(F368:H368)</f>
        <v>4010.8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61034.8</v>
      </c>
      <c r="G369" s="47">
        <f>SUM(G367:G368)</f>
        <v>0</v>
      </c>
      <c r="H369" s="47">
        <f>SUM(H367:H368)</f>
        <v>0</v>
      </c>
      <c r="I369" s="47">
        <f>SUM(I367:I368)</f>
        <v>61034.8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867.8</v>
      </c>
      <c r="I389" s="18"/>
      <c r="J389" s="24" t="s">
        <v>289</v>
      </c>
      <c r="K389" s="24" t="s">
        <v>289</v>
      </c>
      <c r="L389" s="56">
        <f t="shared" si="25"/>
        <v>867.8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867.8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867.8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217.32</v>
      </c>
      <c r="I396" s="18"/>
      <c r="J396" s="24" t="s">
        <v>289</v>
      </c>
      <c r="K396" s="24" t="s">
        <v>289</v>
      </c>
      <c r="L396" s="56">
        <f t="shared" si="26"/>
        <v>217.32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30000</v>
      </c>
      <c r="H397" s="18">
        <v>516.32000000000005</v>
      </c>
      <c r="I397" s="18"/>
      <c r="J397" s="24" t="s">
        <v>289</v>
      </c>
      <c r="K397" s="24" t="s">
        <v>289</v>
      </c>
      <c r="L397" s="56">
        <f t="shared" si="26"/>
        <v>30516.32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2.2599999999999998</v>
      </c>
      <c r="I399" s="18"/>
      <c r="J399" s="24" t="s">
        <v>289</v>
      </c>
      <c r="K399" s="24" t="s">
        <v>289</v>
      </c>
      <c r="L399" s="56">
        <f t="shared" si="26"/>
        <v>2.2599999999999998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6.15</v>
      </c>
      <c r="I400" s="18"/>
      <c r="J400" s="24" t="s">
        <v>289</v>
      </c>
      <c r="K400" s="24" t="s">
        <v>289</v>
      </c>
      <c r="L400" s="56">
        <f t="shared" si="26"/>
        <v>6.15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30000</v>
      </c>
      <c r="H401" s="47">
        <f>SUM(H395:H400)</f>
        <v>742.05000000000007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30742.05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30000</v>
      </c>
      <c r="H408" s="47">
        <f>H393+H401+H407</f>
        <v>1609.85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31609.85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282558.90999999997</v>
      </c>
      <c r="G442" s="18">
        <v>247568.57</v>
      </c>
      <c r="H442" s="18"/>
      <c r="I442" s="56">
        <f t="shared" si="33"/>
        <v>530127.48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282558.90999999997</v>
      </c>
      <c r="G446" s="13">
        <f>SUM(G439:G445)</f>
        <v>247568.57</v>
      </c>
      <c r="H446" s="13">
        <f>SUM(H439:H445)</f>
        <v>0</v>
      </c>
      <c r="I446" s="13">
        <f>SUM(I439:I445)</f>
        <v>530127.48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282558.90999999997</v>
      </c>
      <c r="G459" s="18">
        <v>247568.57</v>
      </c>
      <c r="H459" s="18"/>
      <c r="I459" s="56">
        <f t="shared" si="34"/>
        <v>530127.48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282558.90999999997</v>
      </c>
      <c r="G460" s="83">
        <f>SUM(G454:G459)</f>
        <v>247568.57</v>
      </c>
      <c r="H460" s="83">
        <f>SUM(H454:H459)</f>
        <v>0</v>
      </c>
      <c r="I460" s="83">
        <f>SUM(I454:I459)</f>
        <v>530127.48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282558.90999999997</v>
      </c>
      <c r="G461" s="42">
        <f>G452+G460</f>
        <v>247568.57</v>
      </c>
      <c r="H461" s="42">
        <f>H452+H460</f>
        <v>0</v>
      </c>
      <c r="I461" s="42">
        <f>I452+I460</f>
        <v>530127.48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768338.94</v>
      </c>
      <c r="G465" s="18">
        <v>23108.66</v>
      </c>
      <c r="H465" s="18"/>
      <c r="I465" s="18"/>
      <c r="J465" s="18">
        <v>498517.63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7473221.0800000001</v>
      </c>
      <c r="G468" s="18">
        <v>133093.34</v>
      </c>
      <c r="H468" s="18">
        <v>170813.67</v>
      </c>
      <c r="I468" s="18"/>
      <c r="J468" s="18">
        <v>31609.85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7473221.0800000001</v>
      </c>
      <c r="G470" s="53">
        <f>SUM(G468:G469)</f>
        <v>133093.34</v>
      </c>
      <c r="H470" s="53">
        <f>SUM(H468:H469)</f>
        <v>170813.67</v>
      </c>
      <c r="I470" s="53">
        <f>SUM(I468:I469)</f>
        <v>0</v>
      </c>
      <c r="J470" s="53">
        <f>SUM(J468:J469)</f>
        <v>31609.85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7278171.6799999997</v>
      </c>
      <c r="G472" s="18">
        <v>141919.98000000001</v>
      </c>
      <c r="H472" s="18">
        <v>170813.67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7278171.6799999997</v>
      </c>
      <c r="G474" s="53">
        <f>SUM(G472:G473)</f>
        <v>141919.98000000001</v>
      </c>
      <c r="H474" s="53">
        <f>SUM(H472:H473)</f>
        <v>170813.67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963388.33999999985</v>
      </c>
      <c r="G476" s="53">
        <f>(G465+G470)- G474</f>
        <v>14282.01999999999</v>
      </c>
      <c r="H476" s="53">
        <f>(H465+H470)- H474</f>
        <v>0</v>
      </c>
      <c r="I476" s="53">
        <f>(I465+I470)- I474</f>
        <v>0</v>
      </c>
      <c r="J476" s="53">
        <f>(J465+J470)- J474</f>
        <v>530127.48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354425.36</v>
      </c>
      <c r="G521" s="18">
        <f>163408.73-43881.12</f>
        <v>119527.61000000002</v>
      </c>
      <c r="H521" s="18">
        <f>11725+114690.37</f>
        <v>126415.37</v>
      </c>
      <c r="I521" s="18">
        <v>4030.85</v>
      </c>
      <c r="J521" s="18"/>
      <c r="K521" s="18"/>
      <c r="L521" s="88">
        <f>SUM(F521:K521)</f>
        <v>604399.18999999994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3000</v>
      </c>
      <c r="I522" s="18"/>
      <c r="J522" s="18"/>
      <c r="K522" s="18"/>
      <c r="L522" s="88">
        <f>SUM(F522:K522)</f>
        <v>3000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551941.07999999996</v>
      </c>
      <c r="I523" s="18"/>
      <c r="J523" s="18"/>
      <c r="K523" s="18"/>
      <c r="L523" s="88">
        <f>SUM(F523:K523)</f>
        <v>551941.07999999996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354425.36</v>
      </c>
      <c r="G524" s="108">
        <f t="shared" ref="G524:L524" si="36">SUM(G521:G523)</f>
        <v>119527.61000000002</v>
      </c>
      <c r="H524" s="108">
        <f t="shared" si="36"/>
        <v>681356.45</v>
      </c>
      <c r="I524" s="108">
        <f t="shared" si="36"/>
        <v>4030.85</v>
      </c>
      <c r="J524" s="108">
        <f t="shared" si="36"/>
        <v>0</v>
      </c>
      <c r="K524" s="108">
        <f t="shared" si="36"/>
        <v>0</v>
      </c>
      <c r="L524" s="89">
        <f t="shared" si="36"/>
        <v>1159340.27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19028.41</v>
      </c>
      <c r="G526" s="18">
        <v>13160.99</v>
      </c>
      <c r="H526" s="18">
        <v>286791.81</v>
      </c>
      <c r="I526" s="18">
        <v>420.4</v>
      </c>
      <c r="J526" s="18"/>
      <c r="K526" s="18"/>
      <c r="L526" s="88">
        <f>SUM(F526:K526)</f>
        <v>319401.61000000004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19028.41</v>
      </c>
      <c r="G529" s="89">
        <f t="shared" ref="G529:L529" si="37">SUM(G526:G528)</f>
        <v>13160.99</v>
      </c>
      <c r="H529" s="89">
        <f t="shared" si="37"/>
        <v>286791.81</v>
      </c>
      <c r="I529" s="89">
        <f t="shared" si="37"/>
        <v>420.4</v>
      </c>
      <c r="J529" s="89">
        <f t="shared" si="37"/>
        <v>0</v>
      </c>
      <c r="K529" s="89">
        <f t="shared" si="37"/>
        <v>0</v>
      </c>
      <c r="L529" s="89">
        <f t="shared" si="37"/>
        <v>319401.61000000004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90869.73</v>
      </c>
      <c r="G531" s="18">
        <f>980+43881.12</f>
        <v>44861.120000000003</v>
      </c>
      <c r="H531" s="18">
        <f>429.78+4204.37</f>
        <v>4634.1499999999996</v>
      </c>
      <c r="I531" s="18"/>
      <c r="J531" s="18"/>
      <c r="K531" s="18">
        <v>795</v>
      </c>
      <c r="L531" s="88">
        <f>SUM(F531:K531)</f>
        <v>141160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90869.73</v>
      </c>
      <c r="G534" s="89">
        <f t="shared" ref="G534:L534" si="38">SUM(G531:G533)</f>
        <v>44861.120000000003</v>
      </c>
      <c r="H534" s="89">
        <f t="shared" si="38"/>
        <v>4634.1499999999996</v>
      </c>
      <c r="I534" s="89">
        <f t="shared" si="38"/>
        <v>0</v>
      </c>
      <c r="J534" s="89">
        <f t="shared" si="38"/>
        <v>0</v>
      </c>
      <c r="K534" s="89">
        <f t="shared" si="38"/>
        <v>795</v>
      </c>
      <c r="L534" s="89">
        <f t="shared" si="38"/>
        <v>141160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110810.27</v>
      </c>
      <c r="I541" s="18"/>
      <c r="J541" s="18"/>
      <c r="K541" s="18"/>
      <c r="L541" s="88">
        <f>SUM(F541:K541)</f>
        <v>110810.27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50656.13</v>
      </c>
      <c r="I543" s="18"/>
      <c r="J543" s="18"/>
      <c r="K543" s="18"/>
      <c r="L543" s="88">
        <f>SUM(F543:K543)</f>
        <v>50656.13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161466.4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161466.4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464323.49999999994</v>
      </c>
      <c r="G545" s="89">
        <f t="shared" ref="G545:L545" si="41">G524+G529+G534+G539+G544</f>
        <v>177549.72</v>
      </c>
      <c r="H545" s="89">
        <f t="shared" si="41"/>
        <v>1134248.81</v>
      </c>
      <c r="I545" s="89">
        <f t="shared" si="41"/>
        <v>4451.25</v>
      </c>
      <c r="J545" s="89">
        <f t="shared" si="41"/>
        <v>0</v>
      </c>
      <c r="K545" s="89">
        <f t="shared" si="41"/>
        <v>795</v>
      </c>
      <c r="L545" s="89">
        <f t="shared" si="41"/>
        <v>1781368.28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604399.18999999994</v>
      </c>
      <c r="G549" s="87">
        <f>L526</f>
        <v>319401.61000000004</v>
      </c>
      <c r="H549" s="87">
        <f>L531</f>
        <v>141160</v>
      </c>
      <c r="I549" s="87">
        <f>L536</f>
        <v>0</v>
      </c>
      <c r="J549" s="87">
        <f>L541</f>
        <v>110810.27</v>
      </c>
      <c r="K549" s="87">
        <f>SUM(F549:J549)</f>
        <v>1175771.07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3000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3000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551941.07999999996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50656.13</v>
      </c>
      <c r="K551" s="87">
        <f>SUM(F551:J551)</f>
        <v>602597.21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1159340.27</v>
      </c>
      <c r="G552" s="89">
        <f t="shared" si="42"/>
        <v>319401.61000000004</v>
      </c>
      <c r="H552" s="89">
        <f t="shared" si="42"/>
        <v>141160</v>
      </c>
      <c r="I552" s="89">
        <f t="shared" si="42"/>
        <v>0</v>
      </c>
      <c r="J552" s="89">
        <f t="shared" si="42"/>
        <v>161466.4</v>
      </c>
      <c r="K552" s="89">
        <f t="shared" si="42"/>
        <v>1781368.28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5775.75</v>
      </c>
      <c r="G562" s="18">
        <f>441.88+46.58+18.07</f>
        <v>506.53</v>
      </c>
      <c r="H562" s="18"/>
      <c r="I562" s="18"/>
      <c r="J562" s="18"/>
      <c r="K562" s="18"/>
      <c r="L562" s="88">
        <f>SUM(F562:K562)</f>
        <v>6282.28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5775.75</v>
      </c>
      <c r="G565" s="89">
        <f t="shared" si="44"/>
        <v>506.53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6282.28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62478</v>
      </c>
      <c r="G567" s="18">
        <f>17947.35+775.53+41.4+156.24+4380.73+9790.45+46.58+208.85</f>
        <v>33347.129999999997</v>
      </c>
      <c r="H567" s="18"/>
      <c r="I567" s="18">
        <v>492.77</v>
      </c>
      <c r="J567" s="18"/>
      <c r="K567" s="18"/>
      <c r="L567" s="88">
        <f>SUM(F567:K567)</f>
        <v>96317.900000000009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62478</v>
      </c>
      <c r="G570" s="193">
        <f t="shared" ref="G570:L570" si="45">SUM(G567:G569)</f>
        <v>33347.129999999997</v>
      </c>
      <c r="H570" s="193">
        <f t="shared" si="45"/>
        <v>0</v>
      </c>
      <c r="I570" s="193">
        <f t="shared" si="45"/>
        <v>492.77</v>
      </c>
      <c r="J570" s="193">
        <f t="shared" si="45"/>
        <v>0</v>
      </c>
      <c r="K570" s="193">
        <f t="shared" si="45"/>
        <v>0</v>
      </c>
      <c r="L570" s="193">
        <f t="shared" si="45"/>
        <v>96317.900000000009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68253.75</v>
      </c>
      <c r="G571" s="89">
        <f t="shared" ref="G571:L571" si="46">G560+G565+G570</f>
        <v>33853.659999999996</v>
      </c>
      <c r="H571" s="89">
        <f t="shared" si="46"/>
        <v>0</v>
      </c>
      <c r="I571" s="89">
        <f t="shared" si="46"/>
        <v>492.77</v>
      </c>
      <c r="J571" s="89">
        <f t="shared" si="46"/>
        <v>0</v>
      </c>
      <c r="K571" s="89">
        <f t="shared" si="46"/>
        <v>0</v>
      </c>
      <c r="L571" s="89">
        <f t="shared" si="46"/>
        <v>102600.18000000001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1209984</v>
      </c>
      <c r="I575" s="87">
        <f>SUM(F575:H575)</f>
        <v>1209984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162893.79999999999</v>
      </c>
      <c r="I577" s="87">
        <f t="shared" si="47"/>
        <v>162893.79999999999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412473.04</v>
      </c>
      <c r="I579" s="87">
        <f t="shared" si="47"/>
        <v>412473.04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39295.620000000003</v>
      </c>
      <c r="I581" s="87">
        <f t="shared" si="47"/>
        <v>39295.620000000003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114690.37</v>
      </c>
      <c r="G582" s="18">
        <v>3000</v>
      </c>
      <c r="H582" s="18">
        <v>100172.42</v>
      </c>
      <c r="I582" s="87">
        <f t="shared" si="47"/>
        <v>217862.78999999998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177585.07</v>
      </c>
      <c r="I591" s="18"/>
      <c r="J591" s="18">
        <v>71034.03</v>
      </c>
      <c r="K591" s="104">
        <f t="shared" ref="K591:K597" si="48">SUM(H591:J591)</f>
        <v>248619.1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110810.27</v>
      </c>
      <c r="I592" s="18"/>
      <c r="J592" s="18">
        <v>50656.13</v>
      </c>
      <c r="K592" s="104">
        <f t="shared" si="48"/>
        <v>161466.4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9336.14</v>
      </c>
      <c r="I594" s="18"/>
      <c r="J594" s="18"/>
      <c r="K594" s="104">
        <f t="shared" si="48"/>
        <v>9336.14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5432.87</v>
      </c>
      <c r="I595" s="18"/>
      <c r="J595" s="18"/>
      <c r="K595" s="104">
        <f t="shared" si="48"/>
        <v>5432.87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303164.35000000003</v>
      </c>
      <c r="I598" s="108">
        <f>SUM(I591:I597)</f>
        <v>0</v>
      </c>
      <c r="J598" s="108">
        <f>SUM(J591:J597)</f>
        <v>121690.16</v>
      </c>
      <c r="K598" s="108">
        <f>SUM(K591:K597)</f>
        <v>424854.51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60916.29</v>
      </c>
      <c r="I604" s="18"/>
      <c r="J604" s="18"/>
      <c r="K604" s="104">
        <f>SUM(H604:J604)</f>
        <v>60916.29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60916.29</v>
      </c>
      <c r="I605" s="108">
        <f>SUM(I602:I604)</f>
        <v>0</v>
      </c>
      <c r="J605" s="108">
        <f>SUM(J602:J604)</f>
        <v>0</v>
      </c>
      <c r="K605" s="108">
        <f>SUM(K602:K604)</f>
        <v>60916.29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5137.5+2448</f>
        <v>7585.5</v>
      </c>
      <c r="G611" s="18">
        <f>580.11+65.35+573.76</f>
        <v>1219.22</v>
      </c>
      <c r="H611" s="18">
        <f>6688+11331.38+3000+6359.1</f>
        <v>27378.479999999996</v>
      </c>
      <c r="I611" s="18"/>
      <c r="J611" s="18"/>
      <c r="K611" s="18"/>
      <c r="L611" s="88">
        <f>SUM(F611:K611)</f>
        <v>36183.199999999997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7585.5</v>
      </c>
      <c r="G614" s="108">
        <f t="shared" si="49"/>
        <v>1219.22</v>
      </c>
      <c r="H614" s="108">
        <f t="shared" si="49"/>
        <v>27378.479999999996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36183.199999999997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1078839.8099999998</v>
      </c>
      <c r="H617" s="109">
        <f>SUM(F52)</f>
        <v>1078839.81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17208.060000000001</v>
      </c>
      <c r="H618" s="109">
        <f>SUM(G52)</f>
        <v>17208.060000000001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42113.43</v>
      </c>
      <c r="H619" s="109">
        <f>SUM(H52)</f>
        <v>42113.43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530127.48</v>
      </c>
      <c r="H621" s="109">
        <f>SUM(J52)</f>
        <v>530127.48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963388.34000000008</v>
      </c>
      <c r="H622" s="109">
        <f>F476</f>
        <v>963388.33999999985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14282.02</v>
      </c>
      <c r="H623" s="109">
        <f>G476</f>
        <v>14282.01999999999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530127.48</v>
      </c>
      <c r="H626" s="109">
        <f>J476</f>
        <v>530127.48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7473221.0800000001</v>
      </c>
      <c r="H627" s="104">
        <f>SUM(F468)</f>
        <v>7473221.0800000001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133093.34</v>
      </c>
      <c r="H628" s="104">
        <f>SUM(G468)</f>
        <v>133093.34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170813.66999999998</v>
      </c>
      <c r="H629" s="104">
        <f>SUM(H468)</f>
        <v>170813.67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31609.85</v>
      </c>
      <c r="H631" s="104">
        <f>SUM(J468)</f>
        <v>31609.85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7278171.6800000006</v>
      </c>
      <c r="H632" s="104">
        <f>SUM(F472)</f>
        <v>7278171.6799999997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170813.67000000004</v>
      </c>
      <c r="H633" s="104">
        <f>SUM(H472)</f>
        <v>170813.67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61034.8</v>
      </c>
      <c r="H634" s="104">
        <f>I369</f>
        <v>61034.8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141919.97999999998</v>
      </c>
      <c r="H635" s="104">
        <f>SUM(G472)</f>
        <v>141919.98000000001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31609.85</v>
      </c>
      <c r="H637" s="164">
        <f>SUM(J468)</f>
        <v>31609.85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282558.90999999997</v>
      </c>
      <c r="H639" s="104">
        <f>SUM(F461)</f>
        <v>282558.90999999997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247568.57</v>
      </c>
      <c r="H640" s="104">
        <f>SUM(G461)</f>
        <v>247568.57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530127.48</v>
      </c>
      <c r="H642" s="104">
        <f>SUM(I461)</f>
        <v>530127.48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1609.85</v>
      </c>
      <c r="H644" s="104">
        <f>H408</f>
        <v>1609.85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30000</v>
      </c>
      <c r="H645" s="104">
        <f>G408</f>
        <v>30000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31609.85</v>
      </c>
      <c r="H646" s="104">
        <f>L408</f>
        <v>31609.85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424854.51</v>
      </c>
      <c r="H647" s="104">
        <f>L208+L226+L244</f>
        <v>424854.51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60916.29</v>
      </c>
      <c r="H648" s="104">
        <f>(J257+J338)-(J255+J336)</f>
        <v>60916.29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303164.35000000003</v>
      </c>
      <c r="H649" s="104">
        <f>H598</f>
        <v>303164.35000000003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121690.16</v>
      </c>
      <c r="H651" s="104">
        <f>J598</f>
        <v>121690.16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30000</v>
      </c>
      <c r="H655" s="104">
        <f>K266+K347</f>
        <v>30000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5511396.290000001</v>
      </c>
      <c r="G660" s="19">
        <f>(L229+L309+L359)</f>
        <v>3000</v>
      </c>
      <c r="H660" s="19">
        <f>(L247+L328+L360)</f>
        <v>2046509.0399999998</v>
      </c>
      <c r="I660" s="19">
        <f>SUM(F660:H660)</f>
        <v>7560905.330000001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88125.32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88125.32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303164.35000000003</v>
      </c>
      <c r="G662" s="19">
        <f>(L226+L306)-(J226+J306)</f>
        <v>0</v>
      </c>
      <c r="H662" s="19">
        <f>(L244+L325)-(J244+J325)</f>
        <v>121690.16</v>
      </c>
      <c r="I662" s="19">
        <f>SUM(F662:H662)</f>
        <v>424854.51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211789.86</v>
      </c>
      <c r="G663" s="199">
        <f>SUM(G575:G587)+SUM(I602:I604)+L612</f>
        <v>3000</v>
      </c>
      <c r="H663" s="199">
        <f>SUM(H575:H587)+SUM(J602:J604)+L613</f>
        <v>1924818.8800000001</v>
      </c>
      <c r="I663" s="19">
        <f>SUM(F663:H663)</f>
        <v>2139608.7400000002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4908316.7600000007</v>
      </c>
      <c r="G664" s="19">
        <f>G660-SUM(G661:G663)</f>
        <v>0</v>
      </c>
      <c r="H664" s="19">
        <f>H660-SUM(H661:H663)</f>
        <v>0</v>
      </c>
      <c r="I664" s="19">
        <f>I660-SUM(I661:I663)</f>
        <v>4908316.7600000007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329.62</v>
      </c>
      <c r="G665" s="248"/>
      <c r="H665" s="248"/>
      <c r="I665" s="19">
        <f>SUM(F665:H665)</f>
        <v>329.62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14890.83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14890.83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14890.83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14890.83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0" sqref="B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Candia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1463268.9700000002</v>
      </c>
      <c r="C9" s="229">
        <f>'DOE25'!G197+'DOE25'!G215+'DOE25'!G233+'DOE25'!G276+'DOE25'!G295+'DOE25'!G314</f>
        <v>766431.23</v>
      </c>
    </row>
    <row r="10" spans="1:3" x14ac:dyDescent="0.2">
      <c r="A10" t="s">
        <v>779</v>
      </c>
      <c r="B10" s="240">
        <v>1421381.07</v>
      </c>
      <c r="C10" s="240">
        <v>763226.8</v>
      </c>
    </row>
    <row r="11" spans="1:3" x14ac:dyDescent="0.2">
      <c r="A11" t="s">
        <v>780</v>
      </c>
      <c r="B11" s="240">
        <v>18190.8</v>
      </c>
      <c r="C11" s="240">
        <v>1391.6</v>
      </c>
    </row>
    <row r="12" spans="1:3" x14ac:dyDescent="0.2">
      <c r="A12" t="s">
        <v>781</v>
      </c>
      <c r="B12" s="240">
        <v>23697.1</v>
      </c>
      <c r="C12" s="240">
        <v>1812.83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1463268.9700000002</v>
      </c>
      <c r="C13" s="231">
        <f>SUM(C10:C12)</f>
        <v>766431.23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445295.08999999997</v>
      </c>
      <c r="C18" s="229">
        <f>'DOE25'!G198+'DOE25'!G216+'DOE25'!G234+'DOE25'!G277+'DOE25'!G296+'DOE25'!G315</f>
        <v>164388.73000000001</v>
      </c>
    </row>
    <row r="19" spans="1:3" x14ac:dyDescent="0.2">
      <c r="A19" t="s">
        <v>779</v>
      </c>
      <c r="B19" s="240">
        <v>233177.28</v>
      </c>
      <c r="C19" s="240">
        <v>94097.63</v>
      </c>
    </row>
    <row r="20" spans="1:3" x14ac:dyDescent="0.2">
      <c r="A20" t="s">
        <v>780</v>
      </c>
      <c r="B20" s="240">
        <v>120498.08</v>
      </c>
      <c r="C20" s="240">
        <v>18521.84</v>
      </c>
    </row>
    <row r="21" spans="1:3" x14ac:dyDescent="0.2">
      <c r="A21" t="s">
        <v>781</v>
      </c>
      <c r="B21" s="240">
        <v>91619.73</v>
      </c>
      <c r="C21" s="240">
        <v>51769.26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445295.08999999997</v>
      </c>
      <c r="C22" s="231">
        <f>SUM(C19:C21)</f>
        <v>164388.73000000001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23700</v>
      </c>
      <c r="C36" s="235">
        <f>'DOE25'!G200+'DOE25'!G218+'DOE25'!G236+'DOE25'!G279+'DOE25'!G298+'DOE25'!G317</f>
        <v>4295.13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23700</v>
      </c>
      <c r="C39" s="240">
        <v>4295.13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23700</v>
      </c>
      <c r="C40" s="231">
        <f>SUM(C37:C39)</f>
        <v>4295.13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Candia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4977903.1700000009</v>
      </c>
      <c r="D5" s="20">
        <f>SUM('DOE25'!L197:L200)+SUM('DOE25'!L215:L218)+SUM('DOE25'!L233:L236)-F5-G5</f>
        <v>4962088.0500000007</v>
      </c>
      <c r="E5" s="243"/>
      <c r="F5" s="255">
        <f>SUM('DOE25'!J197:J200)+SUM('DOE25'!J215:J218)+SUM('DOE25'!J233:J236)</f>
        <v>14361.62</v>
      </c>
      <c r="G5" s="53">
        <f>SUM('DOE25'!K197:K200)+SUM('DOE25'!K215:K218)+SUM('DOE25'!K233:K236)</f>
        <v>1453.5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411735.72000000003</v>
      </c>
      <c r="D6" s="20">
        <f>'DOE25'!L202+'DOE25'!L220+'DOE25'!L238-F6-G6</f>
        <v>410195.17</v>
      </c>
      <c r="E6" s="243"/>
      <c r="F6" s="255">
        <f>'DOE25'!J202+'DOE25'!J220+'DOE25'!J238</f>
        <v>195.15</v>
      </c>
      <c r="G6" s="53">
        <f>'DOE25'!K202+'DOE25'!K220+'DOE25'!K238</f>
        <v>1345.4</v>
      </c>
      <c r="H6" s="259"/>
    </row>
    <row r="7" spans="1:9" x14ac:dyDescent="0.2">
      <c r="A7" s="32">
        <v>2200</v>
      </c>
      <c r="B7" t="s">
        <v>834</v>
      </c>
      <c r="C7" s="245">
        <f t="shared" si="0"/>
        <v>97199.71</v>
      </c>
      <c r="D7" s="20">
        <f>'DOE25'!L203+'DOE25'!L221+'DOE25'!L239-F7-G7</f>
        <v>97199.71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99617.66</v>
      </c>
      <c r="D8" s="243"/>
      <c r="E8" s="20">
        <f>'DOE25'!L204+'DOE25'!L222+'DOE25'!L240-F8-G8-D9-D11</f>
        <v>93824.88</v>
      </c>
      <c r="F8" s="255">
        <f>'DOE25'!J204+'DOE25'!J222+'DOE25'!J240</f>
        <v>0</v>
      </c>
      <c r="G8" s="53">
        <f>'DOE25'!K204+'DOE25'!K222+'DOE25'!K240</f>
        <v>5792.78</v>
      </c>
      <c r="H8" s="259"/>
    </row>
    <row r="9" spans="1:9" x14ac:dyDescent="0.2">
      <c r="A9" s="32">
        <v>2310</v>
      </c>
      <c r="B9" t="s">
        <v>818</v>
      </c>
      <c r="C9" s="245">
        <f t="shared" si="0"/>
        <v>184179.77</v>
      </c>
      <c r="D9" s="244">
        <v>184179.77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10800</v>
      </c>
      <c r="D10" s="243"/>
      <c r="E10" s="244">
        <v>10800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51465.34</v>
      </c>
      <c r="D11" s="244">
        <v>51465.34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356833.18</v>
      </c>
      <c r="D12" s="20">
        <f>'DOE25'!L205+'DOE25'!L223+'DOE25'!L241-F12-G12</f>
        <v>352678.18</v>
      </c>
      <c r="E12" s="243"/>
      <c r="F12" s="255">
        <f>'DOE25'!J205+'DOE25'!J223+'DOE25'!J241</f>
        <v>2375</v>
      </c>
      <c r="G12" s="53">
        <f>'DOE25'!K205+'DOE25'!K223+'DOE25'!K241</f>
        <v>1780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518763.45</v>
      </c>
      <c r="D14" s="20">
        <f>'DOE25'!L207+'DOE25'!L225+'DOE25'!L243-F14-G14</f>
        <v>517944.32000000001</v>
      </c>
      <c r="E14" s="243"/>
      <c r="F14" s="255">
        <f>'DOE25'!J207+'DOE25'!J225+'DOE25'!J243</f>
        <v>819.13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424854.51</v>
      </c>
      <c r="D15" s="20">
        <f>'DOE25'!L208+'DOE25'!L226+'DOE25'!L244-F15-G15</f>
        <v>424854.51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125619.16999999998</v>
      </c>
      <c r="D16" s="243"/>
      <c r="E16" s="20">
        <f>'DOE25'!L209+'DOE25'!L227+'DOE25'!L245-F16-G16</f>
        <v>100396.56999999998</v>
      </c>
      <c r="F16" s="255">
        <f>'DOE25'!J209+'DOE25'!J227+'DOE25'!J245</f>
        <v>25222.6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84895.979999999981</v>
      </c>
      <c r="D29" s="20">
        <f>'DOE25'!L358+'DOE25'!L359+'DOE25'!L360-'DOE25'!I367-F29-G29</f>
        <v>71785.979999999981</v>
      </c>
      <c r="E29" s="243"/>
      <c r="F29" s="255">
        <f>'DOE25'!J358+'DOE25'!J359+'DOE25'!J360</f>
        <v>12660</v>
      </c>
      <c r="G29" s="53">
        <f>'DOE25'!K358+'DOE25'!K359+'DOE25'!K360</f>
        <v>450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170813.67000000004</v>
      </c>
      <c r="D31" s="20">
        <f>'DOE25'!L290+'DOE25'!L309+'DOE25'!L328+'DOE25'!L333+'DOE25'!L334+'DOE25'!L335-F31-G31</f>
        <v>150140.93000000002</v>
      </c>
      <c r="E31" s="243"/>
      <c r="F31" s="255">
        <f>'DOE25'!J290+'DOE25'!J309+'DOE25'!J328+'DOE25'!J333+'DOE25'!J334+'DOE25'!J335</f>
        <v>17942.79</v>
      </c>
      <c r="G31" s="53">
        <f>'DOE25'!K290+'DOE25'!K309+'DOE25'!K328+'DOE25'!K333+'DOE25'!K334+'DOE25'!K335</f>
        <v>2729.9500000000003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7222531.959999999</v>
      </c>
      <c r="E33" s="246">
        <f>SUM(E5:E31)</f>
        <v>205021.44999999998</v>
      </c>
      <c r="F33" s="246">
        <f>SUM(F5:F31)</f>
        <v>73576.290000000008</v>
      </c>
      <c r="G33" s="246">
        <f>SUM(G5:G31)</f>
        <v>13551.630000000001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205021.44999999998</v>
      </c>
      <c r="E35" s="249"/>
    </row>
    <row r="36" spans="2:8" ht="12" thickTop="1" x14ac:dyDescent="0.2">
      <c r="B36" t="s">
        <v>815</v>
      </c>
      <c r="D36" s="20">
        <f>D33</f>
        <v>7222531.959999999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Candia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1041097.21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37190.129999999997</v>
      </c>
      <c r="D11" s="95">
        <f>'DOE25'!G12</f>
        <v>15076.93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552.47</v>
      </c>
      <c r="D12" s="95">
        <f>'DOE25'!G13</f>
        <v>2131.13</v>
      </c>
      <c r="E12" s="95">
        <f>'DOE25'!H13</f>
        <v>40115.480000000003</v>
      </c>
      <c r="F12" s="95">
        <f>'DOE25'!I13</f>
        <v>0</v>
      </c>
      <c r="G12" s="95">
        <f>'DOE25'!J13</f>
        <v>530127.48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1997.95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1078839.8099999998</v>
      </c>
      <c r="D18" s="41">
        <f>SUM(D8:D17)</f>
        <v>17208.060000000001</v>
      </c>
      <c r="E18" s="41">
        <f>SUM(E8:E17)</f>
        <v>42113.43</v>
      </c>
      <c r="F18" s="41">
        <f>SUM(F8:F17)</f>
        <v>0</v>
      </c>
      <c r="G18" s="41">
        <f>SUM(G8:G17)</f>
        <v>530127.48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15076.93</v>
      </c>
      <c r="D21" s="95">
        <f>'DOE25'!G22</f>
        <v>0</v>
      </c>
      <c r="E21" s="95">
        <f>'DOE25'!H22</f>
        <v>37190.129999999997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90642.43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9732.11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2926.04</v>
      </c>
      <c r="E29" s="95">
        <f>'DOE25'!H30</f>
        <v>4923.3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115451.46999999999</v>
      </c>
      <c r="D31" s="41">
        <f>SUM(D21:D30)</f>
        <v>2926.04</v>
      </c>
      <c r="E31" s="41">
        <f>SUM(E21:E30)</f>
        <v>42113.43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27000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578325.9</v>
      </c>
      <c r="D47" s="95">
        <f>'DOE25'!G48</f>
        <v>14282.02</v>
      </c>
      <c r="E47" s="95">
        <f>'DOE25'!H48</f>
        <v>0</v>
      </c>
      <c r="F47" s="95">
        <f>'DOE25'!I48</f>
        <v>0</v>
      </c>
      <c r="G47" s="95">
        <f>'DOE25'!J48</f>
        <v>530127.48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52002.53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306059.90999999997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963388.34000000008</v>
      </c>
      <c r="D50" s="41">
        <f>SUM(D34:D49)</f>
        <v>14282.02</v>
      </c>
      <c r="E50" s="41">
        <f>SUM(E34:E49)</f>
        <v>0</v>
      </c>
      <c r="F50" s="41">
        <f>SUM(F34:F49)</f>
        <v>0</v>
      </c>
      <c r="G50" s="41">
        <f>SUM(G34:G49)</f>
        <v>530127.48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1078839.81</v>
      </c>
      <c r="D51" s="41">
        <f>D50+D31</f>
        <v>17208.060000000001</v>
      </c>
      <c r="E51" s="41">
        <f>E50+E31</f>
        <v>42113.43</v>
      </c>
      <c r="F51" s="41">
        <f>F50+F31</f>
        <v>0</v>
      </c>
      <c r="G51" s="41">
        <f>G50+G31</f>
        <v>530127.48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5382182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7000.25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205.07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1609.85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88125.32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15557.769999999999</v>
      </c>
      <c r="D61" s="95">
        <f>SUM('DOE25'!G98:G110)</f>
        <v>0</v>
      </c>
      <c r="E61" s="95">
        <f>SUM('DOE25'!H98:H110)</f>
        <v>2281.34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22763.089999999997</v>
      </c>
      <c r="D62" s="130">
        <f>SUM(D57:D61)</f>
        <v>88125.32</v>
      </c>
      <c r="E62" s="130">
        <f>SUM(E57:E61)</f>
        <v>2281.34</v>
      </c>
      <c r="F62" s="130">
        <f>SUM(F57:F61)</f>
        <v>0</v>
      </c>
      <c r="G62" s="130">
        <f>SUM(G57:G61)</f>
        <v>1609.85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5404945.0899999999</v>
      </c>
      <c r="D63" s="22">
        <f>D56+D62</f>
        <v>88125.32</v>
      </c>
      <c r="E63" s="22">
        <f>E56+E62</f>
        <v>2281.34</v>
      </c>
      <c r="F63" s="22">
        <f>F56+F62</f>
        <v>0</v>
      </c>
      <c r="G63" s="22">
        <f>G56+G62</f>
        <v>1609.85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1099407.22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914072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2013479.22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38466.76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1797.26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38466.76</v>
      </c>
      <c r="D78" s="130">
        <f>SUM(D72:D77)</f>
        <v>1797.26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2051945.98</v>
      </c>
      <c r="D81" s="130">
        <f>SUM(D79:D80)+D78+D70</f>
        <v>1797.26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16330.01</v>
      </c>
      <c r="D88" s="95">
        <f>SUM('DOE25'!G153:G161)</f>
        <v>43170.76</v>
      </c>
      <c r="E88" s="95">
        <f>SUM('DOE25'!H153:H161)</f>
        <v>168176.87999999998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355.45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16330.01</v>
      </c>
      <c r="D91" s="131">
        <f>SUM(D85:D90)</f>
        <v>43170.76</v>
      </c>
      <c r="E91" s="131">
        <f>SUM(E85:E90)</f>
        <v>168532.33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30000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30000</v>
      </c>
    </row>
    <row r="104" spans="1:7" ht="12.75" thickTop="1" thickBot="1" x14ac:dyDescent="0.25">
      <c r="A104" s="33" t="s">
        <v>765</v>
      </c>
      <c r="C104" s="86">
        <f>C63+C81+C91+C103</f>
        <v>7473221.0800000001</v>
      </c>
      <c r="D104" s="86">
        <f>D63+D81+D91+D103</f>
        <v>133093.34</v>
      </c>
      <c r="E104" s="86">
        <f>E63+E81+E91+E103</f>
        <v>170813.66999999998</v>
      </c>
      <c r="F104" s="86">
        <f>F63+F81+F91+F103</f>
        <v>0</v>
      </c>
      <c r="G104" s="86">
        <f>G63+G81+G103</f>
        <v>31609.85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3625660.9600000009</v>
      </c>
      <c r="D109" s="24" t="s">
        <v>289</v>
      </c>
      <c r="E109" s="95">
        <f>('DOE25'!L276)+('DOE25'!L295)+('DOE25'!L314)</f>
        <v>32071.059999999998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1307349.3799999999</v>
      </c>
      <c r="D110" s="24" t="s">
        <v>289</v>
      </c>
      <c r="E110" s="95">
        <f>('DOE25'!L277)+('DOE25'!L296)+('DOE25'!L315)</f>
        <v>47512.25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44892.83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4977903.1700000009</v>
      </c>
      <c r="D115" s="86">
        <f>SUM(D109:D114)</f>
        <v>0</v>
      </c>
      <c r="E115" s="86">
        <f>SUM(E109:E114)</f>
        <v>79583.31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411735.72000000003</v>
      </c>
      <c r="D118" s="24" t="s">
        <v>289</v>
      </c>
      <c r="E118" s="95">
        <f>+('DOE25'!L281)+('DOE25'!L300)+('DOE25'!L319)</f>
        <v>29081.33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97199.71</v>
      </c>
      <c r="D119" s="24" t="s">
        <v>289</v>
      </c>
      <c r="E119" s="95">
        <f>+('DOE25'!L282)+('DOE25'!L301)+('DOE25'!L320)</f>
        <v>41120.840000000004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335262.77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356833.18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2729.9500000000003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518763.45</v>
      </c>
      <c r="D123" s="24" t="s">
        <v>289</v>
      </c>
      <c r="E123" s="95">
        <f>+('DOE25'!L286)+('DOE25'!L305)+('DOE25'!L324)</f>
        <v>12297.789999999999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424854.51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125619.16999999998</v>
      </c>
      <c r="D125" s="24" t="s">
        <v>289</v>
      </c>
      <c r="E125" s="95">
        <f>+('DOE25'!L288)+('DOE25'!L307)+('DOE25'!L326)</f>
        <v>6000.45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141919.97999999998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2270268.5099999998</v>
      </c>
      <c r="D128" s="86">
        <f>SUM(D118:D127)</f>
        <v>141919.97999999998</v>
      </c>
      <c r="E128" s="86">
        <f>SUM(E118:E127)</f>
        <v>91230.36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867.8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30742.05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-1609.8499999999985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7278171.6800000006</v>
      </c>
      <c r="D145" s="86">
        <f>(D115+D128+D144)</f>
        <v>141919.97999999998</v>
      </c>
      <c r="E145" s="86">
        <f>(E115+E128+E144)</f>
        <v>170813.66999999998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Candia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14891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14891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3657732</v>
      </c>
      <c r="D10" s="182">
        <f>ROUND((C10/$C$28)*100,1)</f>
        <v>48.9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1354862</v>
      </c>
      <c r="D11" s="182">
        <f>ROUND((C11/$C$28)*100,1)</f>
        <v>18.100000000000001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44893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440817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138321</v>
      </c>
      <c r="D16" s="182">
        <f t="shared" si="0"/>
        <v>1.9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466882</v>
      </c>
      <c r="D17" s="182">
        <f t="shared" si="0"/>
        <v>6.2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356833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2730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531061</v>
      </c>
      <c r="D20" s="182">
        <f t="shared" si="0"/>
        <v>7.1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424855</v>
      </c>
      <c r="D21" s="182">
        <f t="shared" si="0"/>
        <v>5.7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53794.679999999993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7472780.6799999997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7472780.6799999997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5382182</v>
      </c>
      <c r="D35" s="182">
        <f t="shared" ref="D35:D40" si="1">ROUND((C35/$C$41)*100,1)</f>
        <v>70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26654.279999999329</v>
      </c>
      <c r="D36" s="182">
        <f t="shared" si="1"/>
        <v>0.3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2013479</v>
      </c>
      <c r="D37" s="182">
        <f t="shared" si="1"/>
        <v>26.2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40264</v>
      </c>
      <c r="D38" s="182">
        <f t="shared" si="1"/>
        <v>0.5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228033</v>
      </c>
      <c r="D39" s="182">
        <f t="shared" si="1"/>
        <v>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7690612.2799999993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Candia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2016-09-16T19:55:45Z</cp:lastPrinted>
  <dcterms:created xsi:type="dcterms:W3CDTF">1997-12-04T19:04:30Z</dcterms:created>
  <dcterms:modified xsi:type="dcterms:W3CDTF">2016-09-23T15:08:46Z</dcterms:modified>
</cp:coreProperties>
</file>