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1555" windowHeight="113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40" i="1" l="1"/>
  <c r="F50" i="1"/>
  <c r="I531" i="1" l="1"/>
  <c r="H531" i="1"/>
  <c r="G531" i="1"/>
  <c r="F531" i="1"/>
  <c r="H526" i="1"/>
  <c r="H528" i="1"/>
  <c r="I526" i="1"/>
  <c r="G526" i="1"/>
  <c r="F526" i="1"/>
  <c r="J521" i="1"/>
  <c r="I521" i="1"/>
  <c r="H521" i="1"/>
  <c r="F521" i="1"/>
  <c r="H523" i="1"/>
  <c r="G521" i="1"/>
  <c r="F499" i="1"/>
  <c r="F502" i="1"/>
  <c r="D11" i="13"/>
  <c r="D9" i="13" l="1"/>
  <c r="B20" i="12"/>
  <c r="B19" i="12"/>
  <c r="C10" i="12"/>
  <c r="B10" i="12"/>
  <c r="C19" i="12"/>
  <c r="C37" i="12"/>
  <c r="B37" i="12"/>
  <c r="C20" i="12"/>
  <c r="B12" i="12" l="1"/>
  <c r="H396" i="1"/>
  <c r="J468" i="1"/>
  <c r="F46" i="1" l="1"/>
  <c r="F49" i="1"/>
  <c r="H604" i="1" l="1"/>
  <c r="F465" i="1"/>
  <c r="F468" i="1"/>
  <c r="F110" i="1"/>
  <c r="F204" i="1"/>
  <c r="G204" i="1"/>
  <c r="H204" i="1" l="1"/>
  <c r="J207" i="1"/>
  <c r="H207" i="1"/>
  <c r="I205" i="1"/>
  <c r="K204" i="1"/>
  <c r="G203" i="1"/>
  <c r="G202" i="1"/>
  <c r="I202" i="1"/>
  <c r="F200" i="1"/>
  <c r="F12" i="1"/>
  <c r="F9" i="1"/>
  <c r="H472" i="1"/>
  <c r="H468" i="1"/>
  <c r="I276" i="1"/>
  <c r="H155" i="1"/>
  <c r="H238" i="1" l="1"/>
  <c r="H202" i="1"/>
  <c r="H208" i="1"/>
  <c r="H244" i="1"/>
  <c r="I207" i="1" l="1"/>
  <c r="G207" i="1"/>
  <c r="F207" i="1"/>
  <c r="K205" i="1"/>
  <c r="H205" i="1"/>
  <c r="G205" i="1"/>
  <c r="F205" i="1"/>
  <c r="J204" i="1"/>
  <c r="I204" i="1"/>
  <c r="J203" i="1"/>
  <c r="I203" i="1"/>
  <c r="H203" i="1"/>
  <c r="F203" i="1"/>
  <c r="F202" i="1" l="1"/>
  <c r="H200" i="1"/>
  <c r="G200" i="1"/>
  <c r="H234" i="1"/>
  <c r="H315" i="1"/>
  <c r="J198" i="1"/>
  <c r="I198" i="1"/>
  <c r="H198" i="1"/>
  <c r="G198" i="1"/>
  <c r="F198" i="1"/>
  <c r="H233" i="1" l="1"/>
  <c r="H197" i="1"/>
  <c r="J197" i="1"/>
  <c r="I197" i="1"/>
  <c r="G197" i="1"/>
  <c r="F197" i="1"/>
  <c r="F29" i="1"/>
  <c r="F24" i="1"/>
  <c r="F28" i="1"/>
  <c r="H281" i="1"/>
  <c r="H319" i="1"/>
  <c r="H277" i="1"/>
  <c r="H276" i="1"/>
  <c r="G276" i="1"/>
  <c r="F276" i="1"/>
  <c r="I277" i="1" l="1"/>
  <c r="F277" i="1"/>
  <c r="K276" i="1"/>
  <c r="H159" i="1"/>
  <c r="H154" i="1"/>
  <c r="F368" i="1"/>
  <c r="F367" i="1"/>
  <c r="I358" i="1"/>
  <c r="H358" i="1"/>
  <c r="G358" i="1"/>
  <c r="G15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L203" i="1"/>
  <c r="L221" i="1"/>
  <c r="L239" i="1"/>
  <c r="F12" i="13"/>
  <c r="D12" i="13" s="1"/>
  <c r="C12" i="13" s="1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D29" i="13" s="1"/>
  <c r="C29" i="13" s="1"/>
  <c r="G29" i="13"/>
  <c r="L358" i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H25" i="13" s="1"/>
  <c r="C25" i="13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C12" i="10"/>
  <c r="C13" i="10"/>
  <c r="C16" i="10"/>
  <c r="C18" i="10"/>
  <c r="C19" i="10"/>
  <c r="L250" i="1"/>
  <c r="L332" i="1"/>
  <c r="L254" i="1"/>
  <c r="L268" i="1"/>
  <c r="L269" i="1"/>
  <c r="L349" i="1"/>
  <c r="L350" i="1"/>
  <c r="I665" i="1"/>
  <c r="I670" i="1"/>
  <c r="L229" i="1"/>
  <c r="F661" i="1"/>
  <c r="G661" i="1"/>
  <c r="I661" i="1" s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K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9" i="2"/>
  <c r="E119" i="2"/>
  <c r="E120" i="2"/>
  <c r="C121" i="2"/>
  <c r="E121" i="2"/>
  <c r="C122" i="2"/>
  <c r="E122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J257" i="1" s="1"/>
  <c r="J271" i="1" s="1"/>
  <c r="K211" i="1"/>
  <c r="K257" i="1" s="1"/>
  <c r="K271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H461" i="1" s="1"/>
  <c r="H641" i="1" s="1"/>
  <c r="I460" i="1"/>
  <c r="I461" i="1" s="1"/>
  <c r="H642" i="1" s="1"/>
  <c r="F461" i="1"/>
  <c r="G461" i="1"/>
  <c r="F470" i="1"/>
  <c r="G470" i="1"/>
  <c r="H470" i="1"/>
  <c r="I470" i="1"/>
  <c r="I476" i="1" s="1"/>
  <c r="H625" i="1" s="1"/>
  <c r="J625" i="1" s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L529" i="1"/>
  <c r="F534" i="1"/>
  <c r="G534" i="1"/>
  <c r="G545" i="1" s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G643" i="1"/>
  <c r="H643" i="1"/>
  <c r="G644" i="1"/>
  <c r="G645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26" i="10"/>
  <c r="L328" i="1"/>
  <c r="L351" i="1"/>
  <c r="A31" i="12"/>
  <c r="C70" i="2"/>
  <c r="D62" i="2"/>
  <c r="D63" i="2" s="1"/>
  <c r="D18" i="13"/>
  <c r="C18" i="13" s="1"/>
  <c r="D7" i="13"/>
  <c r="C7" i="13" s="1"/>
  <c r="D18" i="2"/>
  <c r="D17" i="13"/>
  <c r="C17" i="13" s="1"/>
  <c r="F78" i="2"/>
  <c r="F81" i="2" s="1"/>
  <c r="D31" i="2"/>
  <c r="C78" i="2"/>
  <c r="G157" i="2"/>
  <c r="F18" i="2"/>
  <c r="G161" i="2"/>
  <c r="G156" i="2"/>
  <c r="E103" i="2"/>
  <c r="E62" i="2"/>
  <c r="E63" i="2" s="1"/>
  <c r="E31" i="2"/>
  <c r="G62" i="2"/>
  <c r="D19" i="13"/>
  <c r="C19" i="13" s="1"/>
  <c r="E13" i="13"/>
  <c r="C13" i="13" s="1"/>
  <c r="E78" i="2"/>
  <c r="E81" i="2" s="1"/>
  <c r="L427" i="1"/>
  <c r="H112" i="1"/>
  <c r="J639" i="1"/>
  <c r="K605" i="1"/>
  <c r="G648" i="1" s="1"/>
  <c r="J571" i="1"/>
  <c r="K571" i="1"/>
  <c r="L433" i="1"/>
  <c r="L419" i="1"/>
  <c r="I169" i="1"/>
  <c r="G552" i="1"/>
  <c r="J643" i="1"/>
  <c r="J476" i="1"/>
  <c r="H626" i="1" s="1"/>
  <c r="F476" i="1"/>
  <c r="H622" i="1" s="1"/>
  <c r="G476" i="1"/>
  <c r="H623" i="1" s="1"/>
  <c r="J623" i="1" s="1"/>
  <c r="G338" i="1"/>
  <c r="G352" i="1" s="1"/>
  <c r="F169" i="1"/>
  <c r="J140" i="1"/>
  <c r="F571" i="1"/>
  <c r="I552" i="1"/>
  <c r="K550" i="1"/>
  <c r="G22" i="2"/>
  <c r="K545" i="1"/>
  <c r="C29" i="10"/>
  <c r="H140" i="1"/>
  <c r="L401" i="1"/>
  <c r="C139" i="2" s="1"/>
  <c r="L393" i="1"/>
  <c r="A13" i="12"/>
  <c r="F22" i="13"/>
  <c r="J640" i="1"/>
  <c r="J634" i="1"/>
  <c r="H571" i="1"/>
  <c r="L560" i="1"/>
  <c r="G192" i="1"/>
  <c r="H192" i="1"/>
  <c r="L309" i="1"/>
  <c r="E16" i="13"/>
  <c r="J655" i="1"/>
  <c r="L570" i="1"/>
  <c r="I571" i="1"/>
  <c r="I545" i="1"/>
  <c r="J636" i="1"/>
  <c r="G36" i="2"/>
  <c r="L565" i="1"/>
  <c r="C22" i="13"/>
  <c r="C138" i="2"/>
  <c r="J622" i="1" l="1"/>
  <c r="L534" i="1"/>
  <c r="H552" i="1"/>
  <c r="K549" i="1"/>
  <c r="H545" i="1"/>
  <c r="F552" i="1"/>
  <c r="L524" i="1"/>
  <c r="K552" i="1"/>
  <c r="J644" i="1"/>
  <c r="G257" i="1"/>
  <c r="G271" i="1" s="1"/>
  <c r="F257" i="1"/>
  <c r="F271" i="1" s="1"/>
  <c r="C120" i="2"/>
  <c r="L247" i="1"/>
  <c r="E8" i="13"/>
  <c r="C8" i="13" s="1"/>
  <c r="J617" i="1"/>
  <c r="C18" i="2"/>
  <c r="J641" i="1"/>
  <c r="I446" i="1"/>
  <c r="G642" i="1" s="1"/>
  <c r="J651" i="1"/>
  <c r="D14" i="13"/>
  <c r="C14" i="13" s="1"/>
  <c r="C123" i="2"/>
  <c r="H257" i="1"/>
  <c r="H271" i="1" s="1"/>
  <c r="L544" i="1"/>
  <c r="C124" i="2"/>
  <c r="G649" i="1"/>
  <c r="J649" i="1" s="1"/>
  <c r="D15" i="13"/>
  <c r="C15" i="13" s="1"/>
  <c r="C132" i="2"/>
  <c r="C25" i="10"/>
  <c r="H33" i="13"/>
  <c r="H647" i="1"/>
  <c r="J647" i="1" s="1"/>
  <c r="F662" i="1"/>
  <c r="I662" i="1" s="1"/>
  <c r="C21" i="10"/>
  <c r="C118" i="2"/>
  <c r="C128" i="2" s="1"/>
  <c r="D5" i="13"/>
  <c r="C5" i="13" s="1"/>
  <c r="C115" i="2"/>
  <c r="L211" i="1"/>
  <c r="H660" i="1"/>
  <c r="H664" i="1" s="1"/>
  <c r="H667" i="1" s="1"/>
  <c r="C81" i="2"/>
  <c r="C62" i="2"/>
  <c r="F112" i="1"/>
  <c r="C36" i="10" s="1"/>
  <c r="C35" i="10"/>
  <c r="C56" i="2"/>
  <c r="E118" i="2"/>
  <c r="E128" i="2" s="1"/>
  <c r="H338" i="1"/>
  <c r="H352" i="1" s="1"/>
  <c r="C15" i="10"/>
  <c r="L290" i="1"/>
  <c r="E109" i="2"/>
  <c r="E115" i="2" s="1"/>
  <c r="E145" i="2" s="1"/>
  <c r="J624" i="1"/>
  <c r="C16" i="13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G104" i="2" s="1"/>
  <c r="J618" i="1"/>
  <c r="G667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I663" i="1"/>
  <c r="C27" i="10"/>
  <c r="G635" i="1"/>
  <c r="J635" i="1" s="1"/>
  <c r="L545" i="1" l="1"/>
  <c r="L257" i="1"/>
  <c r="L271" i="1" s="1"/>
  <c r="G632" i="1" s="1"/>
  <c r="J632" i="1" s="1"/>
  <c r="E33" i="13"/>
  <c r="D35" i="13" s="1"/>
  <c r="C145" i="2"/>
  <c r="H672" i="1"/>
  <c r="C6" i="10" s="1"/>
  <c r="F660" i="1"/>
  <c r="F664" i="1" s="1"/>
  <c r="F672" i="1" s="1"/>
  <c r="C4" i="10" s="1"/>
  <c r="F193" i="1"/>
  <c r="G627" i="1" s="1"/>
  <c r="J627" i="1" s="1"/>
  <c r="C63" i="2"/>
  <c r="C104" i="2" s="1"/>
  <c r="C28" i="10"/>
  <c r="D23" i="10" s="1"/>
  <c r="L338" i="1"/>
  <c r="L352" i="1" s="1"/>
  <c r="G633" i="1" s="1"/>
  <c r="J633" i="1" s="1"/>
  <c r="D31" i="13"/>
  <c r="C31" i="13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I660" i="1" l="1"/>
  <c r="I664" i="1" s="1"/>
  <c r="I672" i="1" s="1"/>
  <c r="C7" i="10" s="1"/>
  <c r="F667" i="1"/>
  <c r="C30" i="10"/>
  <c r="D24" i="10"/>
  <c r="D27" i="10"/>
  <c r="D13" i="10"/>
  <c r="D18" i="10"/>
  <c r="D10" i="10"/>
  <c r="D26" i="10"/>
  <c r="D20" i="10"/>
  <c r="D15" i="10"/>
  <c r="D11" i="10"/>
  <c r="D17" i="10"/>
  <c r="D25" i="10"/>
  <c r="D21" i="10"/>
  <c r="D12" i="10"/>
  <c r="D16" i="10"/>
  <c r="D19" i="10"/>
  <c r="D22" i="10"/>
  <c r="D33" i="13"/>
  <c r="D36" i="13" s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<sst xmlns="http://schemas.openxmlformats.org/spreadsheetml/2006/main" count="3957" uniqueCount="915">
  <si>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</si>
  <si>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</si>
  <si>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</si>
  <si>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</si>
  <si>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</si>
  <si>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</si>
  <si>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</si>
  <si>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</si>
  <si>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</si>
  <si>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</si>
  <si>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</si>
  <si>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</si>
  <si>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</si>
  <si>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</si>
  <si>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</si>
  <si>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</si>
  <si>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</si>
  <si>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</si>
  <si>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</si>
  <si>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</si>
  <si>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</si>
  <si>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</si>
  <si>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</si>
  <si>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</si>
  <si>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</si>
  <si>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</si>
  <si>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</si>
  <si>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</si>
  <si>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</si>
  <si>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</si>
  <si>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</si>
  <si>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</si>
  <si>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</si>
  <si>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</si>
  <si>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</si>
  <si>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</si>
  <si>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</si>
  <si>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</si>
  <si>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</si>
  <si>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</si>
  <si>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</si>
  <si>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</si>
  <si>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</si>
  <si>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</si>
  <si>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</si>
  <si>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</si>
  <si>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</si>
  <si>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</si>
  <si>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</si>
  <si>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</si>
  <si>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</si>
  <si>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</si>
  <si>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</si>
  <si>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</si>
  <si>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</si>
  <si>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</si>
  <si>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</si>
  <si>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</si>
  <si>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</si>
  <si>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</si>
  <si>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</si>
  <si>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</si>
  <si>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</si>
  <si>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</si>
  <si>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</si>
  <si>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</si>
  <si>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</si>
  <si>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</si>
  <si>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</si>
  <si>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</si>
  <si>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</si>
  <si>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</si>
  <si>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</si>
  <si>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</si>
  <si>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</si>
  <si>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</si>
  <si>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</si>
  <si>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</si>
  <si>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</si>
  <si>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</si>
  <si>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</si>
  <si>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</si>
  <si>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</si>
  <si>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</si>
  <si>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</si>
  <si>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</si>
  <si>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</si>
  <si>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</si>
  <si>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</si>
  <si>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</si>
  <si>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</si>
  <si>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</si>
  <si>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</si>
  <si>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</si>
  <si>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</si>
  <si>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</si>
  <si>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</si>
  <si>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</si>
  <si>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</si>
  <si>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</si>
  <si>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</si>
  <si>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</si>
  <si>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</si>
  <si>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</si>
  <si>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</si>
  <si>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</si>
  <si>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</si>
  <si>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</si>
  <si>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</si>
  <si>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</si>
  <si>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</si>
  <si>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</si>
  <si>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</si>
  <si>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</si>
  <si>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</si>
  <si>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</si>
  <si>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</si>
  <si>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</si>
  <si>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</si>
  <si>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</si>
  <si>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</si>
  <si>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</si>
  <si>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</si>
  <si>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</si>
  <si>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</si>
  <si>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</si>
  <si>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</si>
  <si>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</si>
  <si>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</si>
  <si>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</si>
  <si>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</si>
  <si>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</si>
  <si>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</si>
  <si>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</si>
  <si>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</si>
  <si>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</si>
  <si>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</si>
  <si>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</si>
  <si>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</si>
  <si>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</si>
  <si>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</si>
  <si>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</si>
  <si>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</si>
  <si>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</si>
  <si>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</si>
  <si>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</si>
  <si>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</si>
  <si>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</si>
  <si>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</si>
  <si>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</si>
  <si>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</si>
  <si>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</si>
  <si>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</si>
  <si>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</si>
  <si>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</si>
  <si>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</si>
  <si>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</si>
  <si>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</si>
  <si>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</si>
  <si>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</si>
  <si>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</si>
  <si>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</si>
  <si>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</si>
  <si>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</si>
  <si>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</si>
  <si>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</si>
  <si>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</si>
  <si>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</si>
  <si>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</si>
  <si>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</si>
  <si>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</si>
  <si>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</si>
  <si>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</si>
  <si>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</si>
  <si>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</si>
  <si>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</si>
  <si>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</si>
  <si>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</si>
  <si>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</si>
  <si>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</si>
  <si>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</si>
  <si>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</si>
  <si>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</si>
  <si>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</si>
  <si>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</si>
  <si>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</si>
  <si>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</si>
  <si>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</si>
  <si>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</si>
  <si>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</si>
  <si>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</si>
  <si>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</si>
  <si>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</si>
  <si>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</si>
  <si>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</si>
  <si>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</si>
  <si>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</si>
  <si>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</si>
  <si>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</si>
  <si>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</si>
  <si>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</si>
  <si>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</si>
  <si>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</si>
  <si>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</si>
  <si>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</si>
  <si>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</si>
  <si>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</si>
  <si>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</si>
  <si>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</si>
  <si>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</si>
  <si>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</si>
  <si>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</si>
  <si>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</si>
  <si>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</si>
  <si>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</si>
  <si>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</si>
  <si>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</si>
  <si>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</si>
  <si>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</si>
  <si>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</si>
  <si>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</si>
  <si>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</si>
  <si>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</si>
  <si>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</si>
  <si>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</si>
  <si>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</si>
  <si>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</si>
  <si>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</si>
  <si>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</si>
  <si>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</si>
  <si>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</si>
  <si>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</si>
  <si>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</si>
  <si>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</si>
  <si>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</si>
  <si>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</si>
  <si>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</si>
  <si>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</si>
  <si>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</si>
  <si>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</si>
  <si>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</si>
  <si>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</si>
  <si>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</si>
  <si>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</si>
  <si>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</si>
  <si>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</si>
  <si>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</si>
  <si>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</si>
  <si>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</si>
  <si>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</si>
  <si>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</si>
  <si>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</si>
  <si>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</si>
  <si>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</si>
  <si>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</si>
  <si>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</si>
  <si>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</si>
  <si>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</si>
  <si>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</si>
  <si>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</si>
  <si>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</si>
  <si>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</si>
  <si>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</si>
  <si>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</si>
  <si>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</si>
  <si>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</si>
  <si>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</si>
  <si>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</si>
  <si>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</si>
  <si>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</si>
  <si>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</si>
  <si>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</si>
  <si>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</si>
  <si>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</si>
  <si>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</si>
  <si>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</si>
  <si>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</si>
  <si>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</si>
  <si>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</si>
  <si>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</si>
  <si>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</si>
  <si>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</si>
  <si>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</si>
  <si>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</si>
  <si>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</si>
  <si>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</si>
  <si>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</si>
  <si>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</si>
  <si>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</si>
  <si>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</si>
  <si>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</si>
  <si>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</si>
  <si>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</si>
  <si>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</si>
  <si>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</si>
  <si>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</si>
  <si>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</si>
  <si>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</si>
  <si>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</si>
  <si>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</si>
  <si>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</si>
  <si>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</si>
  <si>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</si>
  <si>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</si>
  <si>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</si>
  <si>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</si>
  <si>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</si>
  <si>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</si>
  <si>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</si>
  <si>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</si>
  <si>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</si>
  <si>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</si>
  <si>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</si>
  <si>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</si>
  <si>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</si>
  <si>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</si>
  <si>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</si>
  <si>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</si>
  <si>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</si>
  <si>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</si>
  <si>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</si>
  <si>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</si>
  <si>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</si>
  <si>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</si>
  <si>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</si>
  <si>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</si>
  <si>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</si>
  <si>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</si>
  <si>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</si>
  <si>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</si>
  <si>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</si>
  <si>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</si>
  <si>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</si>
  <si>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</si>
  <si>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</si>
  <si>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</si>
  <si>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</si>
  <si>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</si>
  <si>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</si>
  <si>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</si>
  <si>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</si>
  <si>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</si>
  <si>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</si>
  <si>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</si>
  <si>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</si>
  <si>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</si>
  <si>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</si>
  <si>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</si>
  <si>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</si>
  <si>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</si>
  <si>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</si>
  <si>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</si>
  <si>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</si>
  <si>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</si>
  <si>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</si>
  <si>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</si>
  <si>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</si>
  <si>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</si>
  <si>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</si>
  <si>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</si>
  <si>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</si>
  <si>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</si>
  <si>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</si>
  <si>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</si>
  <si>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</si>
  <si>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</si>
  <si>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</si>
  <si>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</si>
  <si>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</si>
  <si>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</si>
  <si>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</si>
  <si>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</si>
  <si>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</si>
  <si>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</si>
  <si>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</si>
  <si>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</si>
  <si>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</si>
  <si>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</si>
  <si>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</si>
  <si>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</si>
  <si>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</si>
  <si>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</si>
  <si>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</si>
  <si>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</si>
  <si>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</si>
  <si>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</si>
  <si>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</si>
  <si>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</si>
  <si>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</si>
  <si>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</si>
  <si>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</si>
  <si>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</si>
  <si>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</si>
  <si>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</si>
  <si>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</si>
  <si>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</si>
  <si>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</si>
  <si>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</si>
  <si>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</si>
  <si>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</si>
  <si>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</si>
  <si>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</si>
  <si>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</si>
  <si>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</si>
  <si>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</si>
  <si>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</si>
  <si>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</si>
  <si>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</si>
  <si>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</si>
  <si>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</si>
  <si>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</si>
  <si>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</si>
  <si>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</si>
  <si>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</si>
  <si>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</si>
  <si>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</si>
  <si>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</si>
  <si>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</si>
  <si>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</si>
  <si>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</si>
  <si>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</si>
  <si>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</si>
  <si>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</si>
  <si>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</si>
  <si>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</si>
  <si>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</si>
  <si>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</si>
  <si>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</si>
  <si>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</si>
  <si>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</si>
  <si>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</si>
  <si>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</si>
  <si>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</si>
  <si>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</si>
  <si>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</si>
  <si>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</si>
  <si>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</si>
  <si>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</si>
  <si>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</si>
  <si>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</si>
  <si>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</si>
  <si>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</si>
  <si>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</si>
  <si>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</si>
  <si>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</si>
  <si>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</si>
  <si>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</si>
  <si>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</si>
  <si>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</si>
  <si>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</si>
  <si>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</si>
  <si>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</si>
  <si>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</si>
  <si>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</si>
  <si>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</si>
  <si>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</si>
  <si>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</si>
  <si>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</si>
  <si>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</si>
  <si>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</si>
  <si>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</si>
  <si>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</si>
  <si>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</si>
  <si>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</si>
  <si>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</si>
  <si>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</si>
  <si>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</si>
  <si>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</si>
  <si>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</si>
  <si>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</si>
  <si>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</si>
  <si>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</si>
  <si>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</si>
  <si>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</si>
  <si>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</si>
  <si>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</si>
  <si>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</si>
  <si>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</si>
  <si>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</si>
  <si>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</si>
  <si>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</si>
  <si>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</si>
  <si>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</si>
  <si>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</si>
  <si>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</si>
  <si>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</si>
  <si>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</si>
  <si>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</si>
  <si>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</si>
  <si>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</si>
  <si>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</si>
  <si>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</si>
  <si>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</si>
  <si>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</si>
  <si>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</si>
  <si>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</si>
  <si>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</si>
  <si>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</si>
  <si>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</si>
  <si>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</si>
  <si>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</si>
  <si>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</si>
  <si>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</si>
  <si>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</si>
  <si>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</si>
  <si>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</si>
  <si>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</si>
  <si>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</si>
  <si>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</si>
  <si>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</si>
  <si>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</si>
  <si>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</si>
  <si>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</si>
  <si>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</si>
  <si>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</si>
  <si>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</si>
  <si>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</si>
  <si>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</si>
  <si>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</si>
  <si>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</si>
  <si>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</si>
  <si>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</si>
  <si>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</si>
  <si>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</si>
  <si>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</si>
  <si>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</si>
  <si>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</si>
  <si>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</si>
  <si>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</si>
  <si>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</si>
  <si>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</si>
  <si>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</si>
  <si>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</si>
  <si>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</si>
  <si>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</si>
  <si>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</si>
  <si>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</si>
  <si>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</si>
  <si>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</si>
  <si>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</si>
  <si>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</si>
  <si>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</si>
  <si>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</si>
  <si>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</si>
  <si>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</si>
  <si>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</si>
  <si>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</si>
  <si>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</si>
  <si>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</si>
  <si>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</si>
  <si>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</si>
  <si>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</si>
  <si>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</si>
  <si>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</si>
  <si>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</si>
  <si>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</si>
  <si>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</si>
  <si>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</si>
  <si>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</si>
  <si>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</si>
  <si>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</si>
  <si>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</si>
  <si>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</si>
  <si>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</si>
  <si>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</si>
  <si>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</si>
  <si>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</si>
  <si>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</si>
  <si>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</si>
  <si>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</si>
  <si>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</si>
  <si>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</si>
  <si>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</si>
  <si>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</si>
  <si>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</si>
  <si>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</si>
  <si>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</si>
  <si>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</si>
  <si>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</si>
  <si>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</si>
  <si>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</si>
  <si>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</si>
  <si>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</si>
  <si>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</si>
  <si>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</si>
  <si>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</si>
  <si>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</si>
  <si>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</si>
  <si>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</si>
  <si>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</si>
  <si>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</si>
  <si>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</si>
  <si>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</si>
  <si>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</si>
  <si>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</si>
  <si>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</si>
  <si>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</si>
  <si>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</si>
  <si>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</si>
  <si>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</si>
  <si>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</si>
  <si>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</si>
  <si>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</si>
  <si>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</si>
  <si>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</si>
  <si>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</si>
  <si>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</si>
  <si>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</si>
  <si>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</si>
  <si>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</si>
  <si>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</si>
  <si>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</si>
  <si>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</si>
  <si>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</si>
  <si>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</si>
  <si>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</si>
  <si>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</si>
  <si>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</si>
  <si>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</si>
  <si>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</si>
  <si>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</si>
  <si>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</si>
  <si>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</si>
  <si>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</si>
  <si>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</si>
  <si>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</si>
  <si>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</si>
  <si>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</si>
  <si>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</si>
  <si>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</si>
  <si>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</si>
  <si>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</si>
  <si>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</si>
  <si>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</si>
  <si>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</si>
  <si>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</si>
  <si>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</si>
  <si>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</si>
  <si>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</si>
  <si>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</si>
  <si>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</si>
  <si>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</si>
  <si>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</si>
  <si>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</si>
  <si>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</si>
  <si>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</si>
  <si>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</si>
  <si>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</si>
  <si>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</si>
  <si>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</si>
  <si>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</si>
  <si>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</si>
  <si>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</si>
  <si>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</si>
  <si>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</si>
  <si>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</si>
  <si>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</si>
  <si>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</si>
  <si>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</si>
  <si>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</si>
  <si>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</si>
  <si>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</si>
  <si>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</si>
  <si>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</si>
  <si>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</si>
  <si>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</si>
  <si>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</si>
  <si>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</si>
  <si>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</si>
  <si>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</si>
  <si>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</si>
  <si>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</si>
  <si>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</si>
  <si>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</si>
  <si>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</si>
  <si>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</si>
  <si>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</si>
  <si>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</si>
  <si>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</si>
  <si>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</si>
  <si>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</si>
  <si>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</si>
  <si>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</si>
  <si>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</si>
  <si>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</si>
  <si>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</si>
  <si>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</si>
  <si>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</si>
  <si>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</si>
  <si>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</si>
  <si>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</si>
  <si>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</si>
  <si>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</si>
  <si>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</si>
  <si>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</si>
  <si>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</si>
  <si>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</si>
  <si>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</si>
  <si>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</si>
  <si>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</si>
  <si>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</si>
  <si>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</si>
  <si>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</si>
  <si>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</si>
  <si>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</si>
  <si>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</si>
  <si>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</si>
  <si>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</si>
  <si>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</si>
  <si>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</si>
  <si>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</si>
  <si>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</si>
  <si>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</si>
  <si>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</si>
  <si>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</si>
  <si>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</si>
  <si>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</si>
  <si>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</si>
  <si>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</si>
  <si>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</si>
  <si>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</si>
  <si>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</si>
  <si>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</si>
  <si>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</si>
  <si>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</si>
  <si>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</si>
  <si>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</si>
  <si>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</si>
  <si>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</si>
  <si>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</si>
  <si>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</si>
  <si>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</si>
  <si>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</si>
  <si>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</si>
  <si>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</si>
  <si>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</si>
  <si>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</si>
  <si>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</si>
  <si>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</si>
  <si>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</si>
  <si>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</si>
  <si>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</si>
  <si>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</si>
  <si>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</si>
  <si>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</si>
  <si>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</si>
  <si>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</si>
  <si>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</si>
  <si>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</si>
  <si>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</si>
  <si>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</si>
  <si>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</si>
  <si>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</si>
  <si>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</si>
  <si>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</si>
  <si>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</si>
  <si>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</si>
  <si>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</si>
  <si>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</si>
  <si>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</si>
  <si>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</si>
  <si>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</si>
  <si>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</si>
  <si>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</si>
  <si>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</si>
  <si>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</si>
  <si>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</si>
  <si>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</si>
  <si>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</si>
  <si>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</si>
  <si>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</si>
  <si>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</si>
  <si>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</si>
  <si>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</si>
  <si>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</si>
  <si>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</si>
  <si>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</si>
  <si>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</si>
  <si>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</si>
  <si>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</si>
  <si>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</si>
  <si>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</si>
  <si>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</si>
  <si>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</si>
  <si>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</si>
  <si>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</si>
  <si>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</si>
  <si>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</si>
  <si>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</si>
  <si>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</si>
  <si>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</si>
  <si>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</si>
  <si>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</si>
  <si>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</si>
  <si>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</si>
  <si>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</si>
  <si>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</si>
  <si>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</si>
  <si>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</si>
  <si>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</si>
  <si>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</si>
  <si>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</si>
  <si>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</si>
  <si>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</si>
  <si>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</si>
  <si>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</si>
  <si>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</si>
  <si>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</si>
  <si>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</si>
  <si>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</si>
  <si>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</si>
  <si>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</si>
  <si>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</si>
  <si>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</si>
  <si>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</si>
  <si>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</si>
  <si>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</si>
  <si>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</si>
  <si>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</si>
  <si>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</si>
  <si>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</si>
  <si>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</si>
  <si>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</si>
  <si>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</si>
  <si>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</si>
  <si>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</si>
  <si>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</si>
  <si>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</si>
  <si>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</si>
  <si>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</si>
  <si>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</si>
  <si>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</si>
  <si>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</si>
  <si>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</si>
  <si>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</si>
  <si>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</si>
  <si>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</si>
  <si>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</si>
  <si>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</si>
  <si>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</si>
  <si>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</si>
  <si>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</si>
  <si>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</si>
  <si>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</si>
  <si>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</si>
  <si>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</si>
  <si>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</si>
  <si>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</si>
  <si>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</si>
  <si>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</si>
  <si>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</si>
  <si>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</si>
  <si>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</si>
  <si>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</si>
  <si>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</si>
  <si>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</si>
  <si>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</si>
  <si>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</si>
  <si>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</si>
  <si>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</si>
  <si>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</si>
  <si>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</si>
  <si>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</si>
  <si>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</si>
  <si>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</si>
  <si>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</si>
  <si>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</si>
  <si>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</si>
  <si>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</si>
  <si>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</si>
  <si>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</si>
  <si>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</si>
  <si>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</si>
  <si>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</si>
  <si>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</si>
  <si>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</si>
  <si>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</si>
  <si>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</si>
  <si>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</si>
  <si>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</si>
  <si>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</si>
  <si>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</si>
  <si>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</si>
  <si>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</si>
  <si>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</si>
  <si>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</si>
  <si>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</si>
  <si>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</si>
  <si>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</si>
  <si>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</si>
  <si>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</si>
  <si>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</si>
  <si>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</si>
  <si>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</si>
  <si>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</si>
  <si>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</si>
  <si>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</si>
  <si>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</si>
  <si>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</si>
  <si>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</si>
  <si>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</si>
  <si>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</si>
  <si>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</si>
  <si>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</si>
  <si>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</si>
  <si>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</si>
  <si>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</si>
  <si>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</si>
  <si>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</si>
  <si>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</si>
  <si>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</si>
  <si>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</si>
  <si>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CHESTER ACHOOL DISTRICT SAU #82</t>
  </si>
  <si>
    <t>01/12</t>
  </si>
  <si>
    <t>07/18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</si>
</sst>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93</v>
      </c>
      <c r="C2" s="21">
        <v>93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530538.23+2134.43+393.82</f>
        <v>533066.48</v>
      </c>
      <c r="G9" s="18">
        <v>47946.86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272108.5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11895.43+60334.53+7321.29</f>
        <v>79551.249999999985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19230.21</v>
      </c>
      <c r="G13" s="18">
        <v>1507.58</v>
      </c>
      <c r="H13" s="18">
        <v>67664.05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11154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1778.94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1400</v>
      </c>
      <c r="G17" s="18">
        <v>450</v>
      </c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644401.93999999994</v>
      </c>
      <c r="G19" s="41">
        <f>SUM(G9:G18)</f>
        <v>51683.380000000005</v>
      </c>
      <c r="H19" s="41">
        <f>SUM(H9:H18)</f>
        <v>67664.05</v>
      </c>
      <c r="I19" s="41">
        <f>SUM(I9:I18)</f>
        <v>0</v>
      </c>
      <c r="J19" s="41">
        <f>SUM(J9:J18)</f>
        <v>272108.5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11895.43</v>
      </c>
      <c r="H22" s="18">
        <v>60334.53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106426.65+1142.76+109</f>
        <v>107678.40999999999</v>
      </c>
      <c r="G24" s="18"/>
      <c r="H24" s="18">
        <v>7329.52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12221.73</f>
        <v>12221.73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1022.75+987.71+2158.65</f>
        <v>4169.1100000000006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11024</v>
      </c>
      <c r="G30" s="18">
        <v>4919.04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135093.25</v>
      </c>
      <c r="G32" s="41">
        <f>SUM(G22:G31)</f>
        <v>16814.47</v>
      </c>
      <c r="H32" s="41">
        <f>SUM(H22:H31)</f>
        <v>67664.05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2228.94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1400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7321.29</v>
      </c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24684.29+10184.62-2228.94</f>
        <v>32639.970000000005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f>117298+82702</f>
        <v>200000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393.82</v>
      </c>
      <c r="G48" s="18"/>
      <c r="H48" s="18"/>
      <c r="I48" s="18"/>
      <c r="J48" s="13">
        <f>SUM(I459)</f>
        <v>272108.5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43271.97-3500</f>
        <v>39771.97</v>
      </c>
      <c r="G49" s="18"/>
      <c r="H49" s="18">
        <v>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248645.77+92377.84+3500-82702-1400</f>
        <v>260421.61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509308.69</v>
      </c>
      <c r="G51" s="41">
        <f>SUM(G35:G50)</f>
        <v>34868.910000000003</v>
      </c>
      <c r="H51" s="41">
        <f>SUM(H35:H50)</f>
        <v>0</v>
      </c>
      <c r="I51" s="41">
        <f>SUM(I35:I50)</f>
        <v>0</v>
      </c>
      <c r="J51" s="41">
        <f>SUM(J35:J50)</f>
        <v>272108.5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644401.93999999994</v>
      </c>
      <c r="G52" s="41">
        <f>G51+G32</f>
        <v>51683.380000000005</v>
      </c>
      <c r="H52" s="41">
        <f>H51+H32</f>
        <v>67664.05</v>
      </c>
      <c r="I52" s="41">
        <f>I51+I32</f>
        <v>0</v>
      </c>
      <c r="J52" s="41">
        <f>J51+J32</f>
        <v>272108.5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7129729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7129729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15831.32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15831.32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197.19</v>
      </c>
      <c r="G96" s="18">
        <v>73.900000000000006</v>
      </c>
      <c r="H96" s="18"/>
      <c r="I96" s="18"/>
      <c r="J96" s="18">
        <v>10976.62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144643.32999999999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327.28+42604.54+393.82</f>
        <v>43325.64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43522.83</v>
      </c>
      <c r="G111" s="41">
        <f>SUM(G96:G110)</f>
        <v>144717.22999999998</v>
      </c>
      <c r="H111" s="41">
        <f>SUM(H96:H110)</f>
        <v>0</v>
      </c>
      <c r="I111" s="41">
        <f>SUM(I96:I110)</f>
        <v>0</v>
      </c>
      <c r="J111" s="41">
        <f>SUM(J96:J110)</f>
        <v>10976.62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7189083.1500000004</v>
      </c>
      <c r="G112" s="41">
        <f>G60+G111</f>
        <v>144717.22999999998</v>
      </c>
      <c r="H112" s="41">
        <f>H60+H79+H94+H111</f>
        <v>0</v>
      </c>
      <c r="I112" s="41">
        <f>I60+I111</f>
        <v>0</v>
      </c>
      <c r="J112" s="41">
        <f>J60+J111</f>
        <v>10976.62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2835680.95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1148146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3983826.95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90000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82653.7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2569.67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172653.7</v>
      </c>
      <c r="G136" s="41">
        <f>SUM(G123:G135)</f>
        <v>2569.67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4156480.6500000004</v>
      </c>
      <c r="G140" s="41">
        <f>G121+SUM(G136:G137)</f>
        <v>2569.67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3750.77+28160.56</f>
        <v>31911.33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32808.29+23900+5083.97</f>
        <v>61792.26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27056.15+6006.82</f>
        <v>33062.97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174939.63</f>
        <v>174939.63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121303.91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121303.91</v>
      </c>
      <c r="G162" s="41">
        <f>SUM(G150:G161)</f>
        <v>33062.97</v>
      </c>
      <c r="H162" s="41">
        <f>SUM(H150:H161)</f>
        <v>268643.21999999997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121303.91</v>
      </c>
      <c r="G169" s="41">
        <f>G147+G162+SUM(G163:G168)</f>
        <v>33062.97</v>
      </c>
      <c r="H169" s="41">
        <f>H147+H162+SUM(H163:H168)</f>
        <v>268643.21999999997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7321.29</v>
      </c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7321.29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7321.29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11474189</v>
      </c>
      <c r="G193" s="47">
        <f>G112+G140+G169+G192</f>
        <v>180349.87</v>
      </c>
      <c r="H193" s="47">
        <f>H112+H140+H169+H192</f>
        <v>268643.21999999997</v>
      </c>
      <c r="I193" s="47">
        <f>I112+I140+I169+I192</f>
        <v>0</v>
      </c>
      <c r="J193" s="47">
        <f>J112+J140+J192</f>
        <v>35976.620000000003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1769621.83+17631.45+25133.26+3921+40283.29+5415</f>
        <v>1862005.83</v>
      </c>
      <c r="G197" s="18">
        <f>365010.15+23500.08+2580.77+5365.97+134166.01+1366.92+266332.5-94.61+5486+5495.91</f>
        <v>809209.70000000007</v>
      </c>
      <c r="H197" s="18">
        <f>575.75</f>
        <v>575.75</v>
      </c>
      <c r="I197" s="18">
        <f>30746.69+25800.51+1898.62+18407.5+2896.44+3245.5</f>
        <v>82995.260000000009</v>
      </c>
      <c r="J197" s="18">
        <f>4529.96+167.39+9571.49+9204.14+3850.96</f>
        <v>27323.94</v>
      </c>
      <c r="K197" s="18"/>
      <c r="L197" s="19">
        <f>SUM(F197:K197)</f>
        <v>2782110.48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313140.36+3131.11+310150.22+21259.27</f>
        <v>647680.96</v>
      </c>
      <c r="G198" s="18">
        <f>76901.23+3777.3+510.58+2014.02+5.43+49652.55+239.54+1497.44+48788.59+3834.81+2173.97</f>
        <v>189395.46</v>
      </c>
      <c r="H198" s="18">
        <f>34069.72</f>
        <v>34069.72</v>
      </c>
      <c r="I198" s="18">
        <f>1237.65+153.37+44.04+176.23+390.48+948.99</f>
        <v>2950.76</v>
      </c>
      <c r="J198" s="18">
        <f>383.97+176</f>
        <v>559.97</v>
      </c>
      <c r="K198" s="18"/>
      <c r="L198" s="19">
        <f>SUM(F198:K198)</f>
        <v>874656.86999999988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18530+38930-1870</f>
        <v>55590</v>
      </c>
      <c r="G200" s="18">
        <f>4107.29+75.96+7636.82</f>
        <v>11820.07</v>
      </c>
      <c r="H200" s="18">
        <f>6087</f>
        <v>6087</v>
      </c>
      <c r="I200" s="18">
        <v>2141.8000000000002</v>
      </c>
      <c r="J200" s="18">
        <v>3242.92</v>
      </c>
      <c r="K200" s="18"/>
      <c r="L200" s="19">
        <f>SUM(F200:K200)</f>
        <v>78881.790000000008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69068.98+690.69+4673.4+44250+694.5+25200+46300+463+100174+1001.74</f>
        <v>292516.31</v>
      </c>
      <c r="G202" s="18">
        <f>18587.83+1108.55+74.5+140.3+5067.15+52.84+10152.91+390+204.29+499.46+92.9+182.42+5351.16+53.13+6936.01+350+189.03+6091.25+422.62+68.16+133.68+3414.91+35.42+7255.07+175+117.08+16480.29+977.63+65.66+128.88+7328.39+14.53+15697.3+350+278.73+147</f>
        <v>108614.08</v>
      </c>
      <c r="H202" s="18">
        <f>279.88+8633.75+302.5+5465+68399.18+58.5+21890.58-4318.87-2732.5-6845.76-10945.29</f>
        <v>80186.97</v>
      </c>
      <c r="I202" s="18">
        <f>4074.32+284+220+606.13+31.15+175.12+1217.56+57.03+499+209.04+612+350.18+8863.76+107-663.27</f>
        <v>16643.02</v>
      </c>
      <c r="J202" s="18"/>
      <c r="K202" s="18"/>
      <c r="L202" s="19">
        <f t="shared" ref="L202:L208" si="0">SUM(F202:K202)</f>
        <v>497960.38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6800+7475+44363.04+442.5+69528.38+32512.26+3404.75</f>
        <v>164525.93000000002</v>
      </c>
      <c r="G203" s="18">
        <f>1103.75+2252.61+6136.5+43.23+1398.21+210+56.3+104.9+3385.21+33.86+6934.01+175+17167.18+611.68+82.18+189.24+7978.86+11166.44+350+250.54+393.66</f>
        <v>60023.360000000008</v>
      </c>
      <c r="H203" s="18">
        <f>25198.12+16915.88+5488.74</f>
        <v>47602.74</v>
      </c>
      <c r="I203" s="18">
        <f>317.63+538.01+5978.38+1541.22+605+518.2+6466.94</f>
        <v>15965.380000000001</v>
      </c>
      <c r="J203" s="18">
        <f>3447.63+987.17+109234.03</f>
        <v>113668.83</v>
      </c>
      <c r="K203" s="18"/>
      <c r="L203" s="19">
        <f t="shared" si="0"/>
        <v>401786.24000000005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9400+395+1000+640+205844.61+81477.01+34241.56-16295.4</f>
        <v>316702.77999999997</v>
      </c>
      <c r="G204" s="18">
        <f>902.59+89.29+51249.61+17141.96+1402.44+68.5+207+8479.21+3685.14+12416.29+350+323.24+741-7285.63</f>
        <v>89770.64</v>
      </c>
      <c r="H204" s="18">
        <f>1000+115+546.15+12725+1219+529.31+12142.5+7278.21+1642.44-587.5</f>
        <v>36610.11</v>
      </c>
      <c r="I204" s="18">
        <f>1959.26+671.72</f>
        <v>2630.98</v>
      </c>
      <c r="J204" s="18">
        <f>1620</f>
        <v>1620</v>
      </c>
      <c r="K204" s="18">
        <f>3859.68+1536.75+1910.9+1833.82+425</f>
        <v>9566.15</v>
      </c>
      <c r="L204" s="19">
        <f t="shared" si="0"/>
        <v>456900.66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98001+75848+2200+70538.42</f>
        <v>246587.41999999998</v>
      </c>
      <c r="G205" s="18">
        <f>32918.28+1764.28+137+439.26+18190.04+8041.2+26452.25+700+697.44+270+567.08</f>
        <v>90176.83</v>
      </c>
      <c r="H205" s="18">
        <f>4181.42+10973.62+1016.77+892.14</f>
        <v>17063.95</v>
      </c>
      <c r="I205" s="18">
        <f>8134.62+6031.79</f>
        <v>14166.41</v>
      </c>
      <c r="J205" s="18">
        <v>6912</v>
      </c>
      <c r="K205" s="18">
        <f>45+1832.61</f>
        <v>1877.61</v>
      </c>
      <c r="L205" s="19">
        <f t="shared" si="0"/>
        <v>376784.22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154371.58+5272.02</f>
        <v>159643.59999999998</v>
      </c>
      <c r="G207" s="18">
        <f>17668+1733.75+66.4+139.49+10964.68+15537.84+875+446.49</f>
        <v>47431.65</v>
      </c>
      <c r="H207" s="18">
        <f>1496.97+4291.31+10500+6811.39+34211.86+179.94+6516.88+850+23609</f>
        <v>88467.35</v>
      </c>
      <c r="I207" s="18">
        <f>30946.38+250+87757.44+54050.31-113.17+210.26</f>
        <v>173101.22</v>
      </c>
      <c r="J207" s="18">
        <f>80085+1469.11-2500</f>
        <v>79054.11</v>
      </c>
      <c r="K207" s="18"/>
      <c r="L207" s="19">
        <f t="shared" si="0"/>
        <v>547697.92999999993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390933+191725.99+9160.83+4196.25-152463.87-154982.99</f>
        <v>288569.20999999996</v>
      </c>
      <c r="I208" s="18"/>
      <c r="J208" s="18"/>
      <c r="K208" s="18"/>
      <c r="L208" s="19">
        <f t="shared" si="0"/>
        <v>288569.20999999996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3745252.83</v>
      </c>
      <c r="G211" s="41">
        <f t="shared" si="1"/>
        <v>1406441.79</v>
      </c>
      <c r="H211" s="41">
        <f t="shared" si="1"/>
        <v>599232.79999999993</v>
      </c>
      <c r="I211" s="41">
        <f t="shared" si="1"/>
        <v>310594.83</v>
      </c>
      <c r="J211" s="41">
        <f t="shared" si="1"/>
        <v>232381.77000000002</v>
      </c>
      <c r="K211" s="41">
        <f t="shared" si="1"/>
        <v>11443.76</v>
      </c>
      <c r="L211" s="41">
        <f t="shared" si="1"/>
        <v>6305347.7799999993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3548102.53-46642.63</f>
        <v>3501459.9</v>
      </c>
      <c r="I233" s="18"/>
      <c r="J233" s="18"/>
      <c r="K233" s="18"/>
      <c r="L233" s="19">
        <f>SUM(F233:K233)</f>
        <v>3501459.9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141035.59+455358.39+268931.37</f>
        <v>865325.35</v>
      </c>
      <c r="I234" s="18"/>
      <c r="J234" s="18"/>
      <c r="K234" s="18"/>
      <c r="L234" s="19">
        <f>SUM(F234:K234)</f>
        <v>865325.35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f>4318.87+2732.5+6845.76+10945.29</f>
        <v>24842.420000000002</v>
      </c>
      <c r="I238" s="18"/>
      <c r="J238" s="18"/>
      <c r="K238" s="18"/>
      <c r="L238" s="19">
        <f t="shared" ref="L238:L244" si="4">SUM(F238:K238)</f>
        <v>24842.420000000002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16295.4</v>
      </c>
      <c r="G240" s="18">
        <v>7285.63</v>
      </c>
      <c r="H240" s="18">
        <v>364</v>
      </c>
      <c r="I240" s="18"/>
      <c r="J240" s="18"/>
      <c r="K240" s="18"/>
      <c r="L240" s="19">
        <f t="shared" si="4"/>
        <v>23945.03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152463.87+154982.99</f>
        <v>307446.86</v>
      </c>
      <c r="I244" s="18"/>
      <c r="J244" s="18"/>
      <c r="K244" s="18"/>
      <c r="L244" s="19">
        <f t="shared" si="4"/>
        <v>307446.86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16295.4</v>
      </c>
      <c r="G247" s="41">
        <f t="shared" si="5"/>
        <v>7285.63</v>
      </c>
      <c r="H247" s="41">
        <f t="shared" si="5"/>
        <v>4699438.53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4723019.5600000005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3761548.23</v>
      </c>
      <c r="G257" s="41">
        <f t="shared" si="8"/>
        <v>1413727.42</v>
      </c>
      <c r="H257" s="41">
        <f t="shared" si="8"/>
        <v>5298671.33</v>
      </c>
      <c r="I257" s="41">
        <f t="shared" si="8"/>
        <v>310594.83</v>
      </c>
      <c r="J257" s="41">
        <f t="shared" si="8"/>
        <v>232381.77000000002</v>
      </c>
      <c r="K257" s="41">
        <f t="shared" si="8"/>
        <v>11443.76</v>
      </c>
      <c r="L257" s="41">
        <f t="shared" si="8"/>
        <v>11028367.34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300000</v>
      </c>
      <c r="L260" s="19">
        <f>SUM(F260:K260)</f>
        <v>300000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28050</v>
      </c>
      <c r="L261" s="19">
        <f>SUM(F261:K261)</f>
        <v>28050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</v>
      </c>
      <c r="L266" s="19">
        <f t="shared" si="9"/>
        <v>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353050</v>
      </c>
      <c r="L270" s="41">
        <f t="shared" si="9"/>
        <v>353050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3761548.23</v>
      </c>
      <c r="G271" s="42">
        <f t="shared" si="11"/>
        <v>1413727.42</v>
      </c>
      <c r="H271" s="42">
        <f t="shared" si="11"/>
        <v>5298671.33</v>
      </c>
      <c r="I271" s="42">
        <f t="shared" si="11"/>
        <v>310594.83</v>
      </c>
      <c r="J271" s="42">
        <f t="shared" si="11"/>
        <v>232381.77000000002</v>
      </c>
      <c r="K271" s="42">
        <f t="shared" si="11"/>
        <v>364493.76</v>
      </c>
      <c r="L271" s="42">
        <f t="shared" si="11"/>
        <v>11381417.34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3198+250+17850.5+5000+18900+0.1+2318.56</f>
        <v>47517.159999999996</v>
      </c>
      <c r="G276" s="18">
        <f>244.64+288.62+19.51+18.46+19.57+1328.98+1190.82+140.19+108.6+370.82+783.5+30+425.06</f>
        <v>4968.7700000000013</v>
      </c>
      <c r="H276" s="18">
        <f>162+470+5000+1714</f>
        <v>7346</v>
      </c>
      <c r="I276" s="18">
        <f>387.12+8791.92-240.7</f>
        <v>8938.34</v>
      </c>
      <c r="J276" s="18">
        <v>19799.45</v>
      </c>
      <c r="K276" s="18">
        <f>50</f>
        <v>50</v>
      </c>
      <c r="L276" s="19">
        <f>SUM(F276:K276)</f>
        <v>88619.72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4608+39562.56</f>
        <v>44170.559999999998</v>
      </c>
      <c r="G277" s="18"/>
      <c r="H277" s="18">
        <f>1500+38506.61+16751.68-39959.37</f>
        <v>16798.919999999998</v>
      </c>
      <c r="I277" s="18">
        <f>97.82+1721.64</f>
        <v>1819.46</v>
      </c>
      <c r="J277" s="18">
        <v>953.82</v>
      </c>
      <c r="K277" s="18"/>
      <c r="L277" s="19">
        <f>SUM(F277:K277)</f>
        <v>63742.759999999995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f>7000+2500+35500+150+300-3550</f>
        <v>41900</v>
      </c>
      <c r="I281" s="18"/>
      <c r="J281" s="18"/>
      <c r="K281" s="18"/>
      <c r="L281" s="19">
        <f t="shared" ref="L281:L287" si="12">SUM(F281:K281)</f>
        <v>41900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>
        <v>5083.97</v>
      </c>
      <c r="K286" s="18"/>
      <c r="L286" s="19">
        <f t="shared" si="12"/>
        <v>5083.97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91687.72</v>
      </c>
      <c r="G290" s="42">
        <f t="shared" si="13"/>
        <v>4968.7700000000013</v>
      </c>
      <c r="H290" s="42">
        <f t="shared" si="13"/>
        <v>66044.92</v>
      </c>
      <c r="I290" s="42">
        <f t="shared" si="13"/>
        <v>10757.8</v>
      </c>
      <c r="J290" s="42">
        <f t="shared" si="13"/>
        <v>25837.24</v>
      </c>
      <c r="K290" s="42">
        <f t="shared" si="13"/>
        <v>50</v>
      </c>
      <c r="L290" s="41">
        <f t="shared" si="13"/>
        <v>199346.44999999998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>
        <f>1137.5+39959.37</f>
        <v>41096.870000000003</v>
      </c>
      <c r="I315" s="18"/>
      <c r="J315" s="18"/>
      <c r="K315" s="18"/>
      <c r="L315" s="19">
        <f>SUM(F315:K315)</f>
        <v>41096.870000000003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f>7000+2500+3550+15000+150</f>
        <v>28200</v>
      </c>
      <c r="I319" s="18"/>
      <c r="J319" s="18"/>
      <c r="K319" s="18"/>
      <c r="L319" s="19">
        <f t="shared" ref="L319:L325" si="16">SUM(F319:K319)</f>
        <v>28200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69296.87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69296.87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91687.72</v>
      </c>
      <c r="G338" s="41">
        <f t="shared" si="20"/>
        <v>4968.7700000000013</v>
      </c>
      <c r="H338" s="41">
        <f t="shared" si="20"/>
        <v>135341.78999999998</v>
      </c>
      <c r="I338" s="41">
        <f t="shared" si="20"/>
        <v>10757.8</v>
      </c>
      <c r="J338" s="41">
        <f t="shared" si="20"/>
        <v>25837.24</v>
      </c>
      <c r="K338" s="41">
        <f t="shared" si="20"/>
        <v>50</v>
      </c>
      <c r="L338" s="41">
        <f t="shared" si="20"/>
        <v>268643.31999999995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91687.72</v>
      </c>
      <c r="G352" s="41">
        <f>G338</f>
        <v>4968.7700000000013</v>
      </c>
      <c r="H352" s="41">
        <f>H338</f>
        <v>135341.78999999998</v>
      </c>
      <c r="I352" s="41">
        <f>I338</f>
        <v>10757.8</v>
      </c>
      <c r="J352" s="41">
        <f>J338</f>
        <v>25837.24</v>
      </c>
      <c r="K352" s="47">
        <f>K338+K351</f>
        <v>50</v>
      </c>
      <c r="L352" s="41">
        <f>L338+L351</f>
        <v>268643.31999999995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61452.57</v>
      </c>
      <c r="G358" s="18">
        <f>15110.12+936.58+42.5+81.76+4309.81+3741.98+572+198.17</f>
        <v>24992.92</v>
      </c>
      <c r="H358" s="18">
        <f>2471.33+143.94</f>
        <v>2615.27</v>
      </c>
      <c r="I358" s="18">
        <f>2827.41+69868.31+716.25+6006.82+928.55</f>
        <v>80347.340000000011</v>
      </c>
      <c r="J358" s="18">
        <v>757.15</v>
      </c>
      <c r="K358" s="18"/>
      <c r="L358" s="13">
        <f>SUM(F358:K358)</f>
        <v>170165.25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61452.57</v>
      </c>
      <c r="G362" s="47">
        <f t="shared" si="22"/>
        <v>24992.92</v>
      </c>
      <c r="H362" s="47">
        <f t="shared" si="22"/>
        <v>2615.27</v>
      </c>
      <c r="I362" s="47">
        <f t="shared" si="22"/>
        <v>80347.340000000011</v>
      </c>
      <c r="J362" s="47">
        <f t="shared" si="22"/>
        <v>757.15</v>
      </c>
      <c r="K362" s="47">
        <f t="shared" si="22"/>
        <v>0</v>
      </c>
      <c r="L362" s="47">
        <f t="shared" si="22"/>
        <v>170165.25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69868.31+716.25+6006.82</f>
        <v>76591.38</v>
      </c>
      <c r="G367" s="18"/>
      <c r="H367" s="18"/>
      <c r="I367" s="56">
        <f>SUM(F367:H367)</f>
        <v>76591.38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928.55+2827.41</f>
        <v>3755.96</v>
      </c>
      <c r="G368" s="63"/>
      <c r="H368" s="63"/>
      <c r="I368" s="56">
        <f>SUM(F368:H368)</f>
        <v>3755.96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80347.340000000011</v>
      </c>
      <c r="G369" s="47">
        <f>SUM(G367:G368)</f>
        <v>0</v>
      </c>
      <c r="H369" s="47">
        <f>SUM(H367:H368)</f>
        <v>0</v>
      </c>
      <c r="I369" s="47">
        <f>SUM(I367:I368)</f>
        <v>80347.340000000011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f>32736.04-25000</f>
        <v>7736.0400000000009</v>
      </c>
      <c r="I396" s="18"/>
      <c r="J396" s="24" t="s">
        <v>289</v>
      </c>
      <c r="K396" s="24" t="s">
        <v>289</v>
      </c>
      <c r="L396" s="56">
        <f t="shared" si="26"/>
        <v>32736.04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3240.58</v>
      </c>
      <c r="I397" s="18"/>
      <c r="J397" s="24" t="s">
        <v>289</v>
      </c>
      <c r="K397" s="24" t="s">
        <v>289</v>
      </c>
      <c r="L397" s="56">
        <f t="shared" si="26"/>
        <v>3240.58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10976.62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35976.620000000003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10976.62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35976.620000000003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>
        <v>272108.5</v>
      </c>
      <c r="I440" s="56">
        <f t="shared" si="33"/>
        <v>272108.5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272108.5</v>
      </c>
      <c r="I446" s="13">
        <f>SUM(I439:I445)</f>
        <v>272108.5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>
        <v>272108.5</v>
      </c>
      <c r="I459" s="56">
        <f t="shared" si="34"/>
        <v>272108.5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272108.5</v>
      </c>
      <c r="I460" s="83">
        <f>SUM(I454:I459)</f>
        <v>272108.5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272108.5</v>
      </c>
      <c r="I461" s="42">
        <f>I452+I460</f>
        <v>272108.5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f>190654.03+194883+31000</f>
        <v>416537.03</v>
      </c>
      <c r="G465" s="18">
        <v>24684.29</v>
      </c>
      <c r="H465" s="18">
        <v>0.1</v>
      </c>
      <c r="I465" s="18"/>
      <c r="J465" s="18">
        <v>236131.88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11473795.18+393.82</f>
        <v>11474189</v>
      </c>
      <c r="G468" s="18">
        <v>180349.87</v>
      </c>
      <c r="H468" s="18">
        <f>268883.92-240.7</f>
        <v>268643.21999999997</v>
      </c>
      <c r="I468" s="18"/>
      <c r="J468" s="18">
        <f>25000+10976.62</f>
        <v>35976.620000000003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11474189</v>
      </c>
      <c r="G470" s="53">
        <f>SUM(G468:G469)</f>
        <v>180349.87</v>
      </c>
      <c r="H470" s="53">
        <f>SUM(H468:H469)</f>
        <v>268643.21999999997</v>
      </c>
      <c r="I470" s="53">
        <f>SUM(I468:I469)</f>
        <v>0</v>
      </c>
      <c r="J470" s="53">
        <f>SUM(J468:J469)</f>
        <v>35976.620000000003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11381417.34</v>
      </c>
      <c r="G472" s="18">
        <v>170165.25</v>
      </c>
      <c r="H472" s="18">
        <f>268884.02-240.7</f>
        <v>268643.32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11381417.34</v>
      </c>
      <c r="G474" s="53">
        <f>SUM(G472:G473)</f>
        <v>170165.25</v>
      </c>
      <c r="H474" s="53">
        <f>SUM(H472:H473)</f>
        <v>268643.32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509308.68999999948</v>
      </c>
      <c r="G476" s="53">
        <f>(G465+G470)- G474</f>
        <v>34868.910000000003</v>
      </c>
      <c r="H476" s="53">
        <f>(H465+H470)- H474</f>
        <v>0</v>
      </c>
      <c r="I476" s="53">
        <f>(I465+I470)- I474</f>
        <v>0</v>
      </c>
      <c r="J476" s="53">
        <f>(J465+J470)- J474</f>
        <v>272108.5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2076000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1.24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1135000</v>
      </c>
      <c r="G495" s="18"/>
      <c r="H495" s="18"/>
      <c r="I495" s="18"/>
      <c r="J495" s="18"/>
      <c r="K495" s="53">
        <f>SUM(F495:J495)</f>
        <v>1135000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300000</v>
      </c>
      <c r="G497" s="18"/>
      <c r="H497" s="18"/>
      <c r="I497" s="18"/>
      <c r="J497" s="18"/>
      <c r="K497" s="53">
        <f t="shared" si="35"/>
        <v>300000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835000</v>
      </c>
      <c r="G498" s="204"/>
      <c r="H498" s="204"/>
      <c r="I498" s="204"/>
      <c r="J498" s="204"/>
      <c r="K498" s="205">
        <f t="shared" si="35"/>
        <v>835000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12525+8175+8175+3900+3900</f>
        <v>36675</v>
      </c>
      <c r="G499" s="18"/>
      <c r="H499" s="18"/>
      <c r="I499" s="18"/>
      <c r="J499" s="18"/>
      <c r="K499" s="53">
        <f t="shared" si="35"/>
        <v>36675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871675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871675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290000</v>
      </c>
      <c r="G501" s="204"/>
      <c r="H501" s="204"/>
      <c r="I501" s="204"/>
      <c r="J501" s="204"/>
      <c r="K501" s="205">
        <f t="shared" si="35"/>
        <v>290000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12525+8175</f>
        <v>20700</v>
      </c>
      <c r="G502" s="18"/>
      <c r="H502" s="18"/>
      <c r="I502" s="18"/>
      <c r="J502" s="18"/>
      <c r="K502" s="53">
        <f t="shared" si="35"/>
        <v>20700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310700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310700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0</v>
      </c>
      <c r="G507" s="144">
        <v>5547.17</v>
      </c>
      <c r="H507" s="144"/>
      <c r="I507" s="144">
        <v>5547.17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313140.36+3131.11+310150.22+21259.27+44170.56</f>
        <v>691851.52</v>
      </c>
      <c r="G521" s="18">
        <f>76901.23+3777.3+510.58+2014.02+5.43+49652.55+239.54+1497.44+48788.59+3834.81+2173.97</f>
        <v>189395.46</v>
      </c>
      <c r="H521" s="18">
        <f>34069.72+16798.92</f>
        <v>50868.639999999999</v>
      </c>
      <c r="I521" s="18">
        <f>1237.65+153.37+44.04+176.23+390.48+948.99+1819.46</f>
        <v>4770.22</v>
      </c>
      <c r="J521" s="18">
        <f>176+383.97+953.82</f>
        <v>1513.79</v>
      </c>
      <c r="K521" s="18"/>
      <c r="L521" s="88">
        <f>SUM(F521:K521)</f>
        <v>938399.63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141035.59+455358.39+268931.37+41096.87</f>
        <v>906422.22</v>
      </c>
      <c r="I523" s="18"/>
      <c r="J523" s="18"/>
      <c r="K523" s="18"/>
      <c r="L523" s="88">
        <f>SUM(F523:K523)</f>
        <v>906422.22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691851.52</v>
      </c>
      <c r="G524" s="108">
        <f t="shared" ref="G524:L524" si="36">SUM(G521:G523)</f>
        <v>189395.46</v>
      </c>
      <c r="H524" s="108">
        <f t="shared" si="36"/>
        <v>957290.86</v>
      </c>
      <c r="I524" s="108">
        <f t="shared" si="36"/>
        <v>4770.22</v>
      </c>
      <c r="J524" s="108">
        <f t="shared" si="36"/>
        <v>1513.79</v>
      </c>
      <c r="K524" s="108">
        <f t="shared" si="36"/>
        <v>0</v>
      </c>
      <c r="L524" s="89">
        <f t="shared" si="36"/>
        <v>1844821.85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46300+463+100174+1001.74</f>
        <v>147938.74</v>
      </c>
      <c r="G526" s="18">
        <f>6091.25+422.62+68.16+133.68+3414.91+35.42+7255.07+175+117.08+16480.29+977.63+65.66+128.88+7328.39+14.53+15697.3+350+278.73+147</f>
        <v>59181.599999999999</v>
      </c>
      <c r="H526" s="18">
        <f>8633.75-4316.87+302.5+5465-2732.5+68457.68-6845.76+10945.29</f>
        <v>79909.09</v>
      </c>
      <c r="I526" s="18">
        <f>220+606.13+31.15+175.12+1217.56+57.03+499+209.04+612-82.1</f>
        <v>3544.9300000000003</v>
      </c>
      <c r="J526" s="18"/>
      <c r="K526" s="18"/>
      <c r="L526" s="88">
        <f>SUM(F526:K526)</f>
        <v>290574.36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f>28200+4316.87+2732.5+6845.76+10945.29</f>
        <v>53040.42</v>
      </c>
      <c r="I528" s="18">
        <v>82.1</v>
      </c>
      <c r="J528" s="18"/>
      <c r="K528" s="18"/>
      <c r="L528" s="88">
        <f>SUM(F528:K528)</f>
        <v>53122.52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147938.74</v>
      </c>
      <c r="G529" s="89">
        <f t="shared" ref="G529:L529" si="37">SUM(G526:G528)</f>
        <v>59181.599999999999</v>
      </c>
      <c r="H529" s="89">
        <f t="shared" si="37"/>
        <v>132949.51</v>
      </c>
      <c r="I529" s="89">
        <f t="shared" si="37"/>
        <v>3627.03</v>
      </c>
      <c r="J529" s="89">
        <f t="shared" si="37"/>
        <v>0</v>
      </c>
      <c r="K529" s="89">
        <f t="shared" si="37"/>
        <v>0</v>
      </c>
      <c r="L529" s="89">
        <f t="shared" si="37"/>
        <v>343696.88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81477.01+34241.56-16295.4</f>
        <v>99423.17</v>
      </c>
      <c r="G531" s="18">
        <f>17141.96+1402.44+68.5+207+8479.21+3685.14+12416.29+350+323.24+741-7285.63</f>
        <v>37529.149999999994</v>
      </c>
      <c r="H531" s="18">
        <f>7278.21+1642.44</f>
        <v>8920.65</v>
      </c>
      <c r="I531" s="18">
        <f>671.72+1620</f>
        <v>2291.7200000000003</v>
      </c>
      <c r="J531" s="18"/>
      <c r="K531" s="18">
        <v>425</v>
      </c>
      <c r="L531" s="88">
        <f>SUM(F531:K531)</f>
        <v>148589.69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16295.4</v>
      </c>
      <c r="G533" s="18">
        <v>7285.63</v>
      </c>
      <c r="H533" s="18"/>
      <c r="I533" s="18"/>
      <c r="J533" s="18"/>
      <c r="K533" s="18"/>
      <c r="L533" s="88">
        <f>SUM(F533:K533)</f>
        <v>23581.03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115718.56999999999</v>
      </c>
      <c r="G534" s="89">
        <f t="shared" ref="G534:L534" si="38">SUM(G531:G533)</f>
        <v>44814.779999999992</v>
      </c>
      <c r="H534" s="89">
        <f t="shared" si="38"/>
        <v>8920.65</v>
      </c>
      <c r="I534" s="89">
        <f t="shared" si="38"/>
        <v>2291.7200000000003</v>
      </c>
      <c r="J534" s="89">
        <f t="shared" si="38"/>
        <v>0</v>
      </c>
      <c r="K534" s="89">
        <f t="shared" si="38"/>
        <v>425</v>
      </c>
      <c r="L534" s="89">
        <f t="shared" si="38"/>
        <v>172170.72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364</v>
      </c>
      <c r="I538" s="18"/>
      <c r="J538" s="18"/>
      <c r="K538" s="18"/>
      <c r="L538" s="88">
        <f>SUM(F538:K538)</f>
        <v>364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364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364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36743</v>
      </c>
      <c r="I541" s="18"/>
      <c r="J541" s="18"/>
      <c r="K541" s="18"/>
      <c r="L541" s="88">
        <f>SUM(F541:K541)</f>
        <v>36743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154982.99</v>
      </c>
      <c r="I543" s="18"/>
      <c r="J543" s="18"/>
      <c r="K543" s="18"/>
      <c r="L543" s="88">
        <f>SUM(F543:K543)</f>
        <v>154982.99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191725.99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191725.99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955508.83</v>
      </c>
      <c r="G545" s="89">
        <f t="shared" ref="G545:L545" si="41">G524+G529+G534+G539+G544</f>
        <v>293391.83999999997</v>
      </c>
      <c r="H545" s="89">
        <f t="shared" si="41"/>
        <v>1291251.01</v>
      </c>
      <c r="I545" s="89">
        <f t="shared" si="41"/>
        <v>10688.970000000001</v>
      </c>
      <c r="J545" s="89">
        <f t="shared" si="41"/>
        <v>1513.79</v>
      </c>
      <c r="K545" s="89">
        <f t="shared" si="41"/>
        <v>425</v>
      </c>
      <c r="L545" s="89">
        <f t="shared" si="41"/>
        <v>2552779.4400000004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938399.63</v>
      </c>
      <c r="G549" s="87">
        <f>L526</f>
        <v>290574.36</v>
      </c>
      <c r="H549" s="87">
        <f>L531</f>
        <v>148589.69</v>
      </c>
      <c r="I549" s="87">
        <f>L536</f>
        <v>0</v>
      </c>
      <c r="J549" s="87">
        <f>L541</f>
        <v>36743</v>
      </c>
      <c r="K549" s="87">
        <f>SUM(F549:J549)</f>
        <v>1414306.68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906422.22</v>
      </c>
      <c r="G551" s="87">
        <f>L528</f>
        <v>53122.52</v>
      </c>
      <c r="H551" s="87">
        <f>L533</f>
        <v>23581.03</v>
      </c>
      <c r="I551" s="87">
        <f>L538</f>
        <v>364</v>
      </c>
      <c r="J551" s="87">
        <f>L543</f>
        <v>154982.99</v>
      </c>
      <c r="K551" s="87">
        <f>SUM(F551:J551)</f>
        <v>1138472.76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1844821.85</v>
      </c>
      <c r="G552" s="89">
        <f t="shared" si="42"/>
        <v>343696.88</v>
      </c>
      <c r="H552" s="89">
        <f t="shared" si="42"/>
        <v>172170.72</v>
      </c>
      <c r="I552" s="89">
        <f t="shared" si="42"/>
        <v>364</v>
      </c>
      <c r="J552" s="89">
        <f t="shared" si="42"/>
        <v>191725.99</v>
      </c>
      <c r="K552" s="89">
        <f t="shared" si="42"/>
        <v>2552779.44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3501459.9</v>
      </c>
      <c r="I577" s="87">
        <f t="shared" si="47"/>
        <v>3501459.9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455358.39</v>
      </c>
      <c r="I581" s="87">
        <f t="shared" si="47"/>
        <v>455358.39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v>268931.37</v>
      </c>
      <c r="I582" s="87">
        <f t="shared" si="47"/>
        <v>268931.37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238469.13</v>
      </c>
      <c r="I591" s="18"/>
      <c r="J591" s="18">
        <v>152463.87</v>
      </c>
      <c r="K591" s="104">
        <f t="shared" ref="K591:K597" si="48">SUM(H591:J591)</f>
        <v>390933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36743</v>
      </c>
      <c r="I592" s="18"/>
      <c r="J592" s="18">
        <v>154982.99</v>
      </c>
      <c r="K592" s="104">
        <f t="shared" si="48"/>
        <v>191725.99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9160.83</v>
      </c>
      <c r="I594" s="18"/>
      <c r="J594" s="18"/>
      <c r="K594" s="104">
        <f t="shared" si="48"/>
        <v>9160.83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4196.25</v>
      </c>
      <c r="I596" s="18"/>
      <c r="J596" s="18"/>
      <c r="K596" s="104">
        <f t="shared" si="48"/>
        <v>4196.25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288569.21000000002</v>
      </c>
      <c r="I598" s="108">
        <f>SUM(I591:I597)</f>
        <v>0</v>
      </c>
      <c r="J598" s="108">
        <f>SUM(J591:J597)</f>
        <v>307446.86</v>
      </c>
      <c r="K598" s="108">
        <f>SUM(K591:K597)</f>
        <v>596016.06999999995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79054.11</v>
      </c>
      <c r="I603" s="18"/>
      <c r="J603" s="18"/>
      <c r="K603" s="104">
        <f>SUM(H603:J603)</f>
        <v>79054.11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232381.77-79054.11</f>
        <v>153327.65999999997</v>
      </c>
      <c r="I604" s="18">
        <v>0</v>
      </c>
      <c r="J604" s="18">
        <v>25837.24</v>
      </c>
      <c r="K604" s="104">
        <f>SUM(H604:J604)</f>
        <v>179164.89999999997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232381.76999999996</v>
      </c>
      <c r="I605" s="108">
        <f>SUM(I602:I604)</f>
        <v>0</v>
      </c>
      <c r="J605" s="108">
        <f>SUM(J602:J604)</f>
        <v>25837.24</v>
      </c>
      <c r="K605" s="108">
        <f>SUM(K602:K604)</f>
        <v>258219.00999999995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644401.93999999994</v>
      </c>
      <c r="H617" s="109">
        <f>SUM(F52)</f>
        <v>644401.93999999994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51683.380000000005</v>
      </c>
      <c r="H618" s="109">
        <f>SUM(G52)</f>
        <v>51683.380000000005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67664.05</v>
      </c>
      <c r="H619" s="109">
        <f>SUM(H52)</f>
        <v>67664.05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272108.5</v>
      </c>
      <c r="H621" s="109">
        <f>SUM(J52)</f>
        <v>272108.5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509308.69</v>
      </c>
      <c r="H622" s="109">
        <f>F476</f>
        <v>509308.68999999948</v>
      </c>
      <c r="I622" s="121" t="s">
        <v>101</v>
      </c>
      <c r="J622" s="109">
        <f t="shared" ref="J622:J655" si="50">G622-H622</f>
        <v>5.2386894822120667E-10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34868.910000000003</v>
      </c>
      <c r="H623" s="109">
        <f>G476</f>
        <v>34868.910000000003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272108.5</v>
      </c>
      <c r="H626" s="109">
        <f>J476</f>
        <v>272108.5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11474189</v>
      </c>
      <c r="H627" s="104">
        <f>SUM(F468)</f>
        <v>11474189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180349.87</v>
      </c>
      <c r="H628" s="104">
        <f>SUM(G468)</f>
        <v>180349.87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268643.21999999997</v>
      </c>
      <c r="H629" s="104">
        <f>SUM(H468)</f>
        <v>268643.21999999997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35976.620000000003</v>
      </c>
      <c r="H631" s="104">
        <f>SUM(J468)</f>
        <v>35976.620000000003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11381417.34</v>
      </c>
      <c r="H632" s="104">
        <f>SUM(F472)</f>
        <v>11381417.34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268643.31999999995</v>
      </c>
      <c r="H633" s="104">
        <f>SUM(H472)</f>
        <v>268643.32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80347.340000000011</v>
      </c>
      <c r="H634" s="104">
        <f>I369</f>
        <v>80347.340000000011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170165.25</v>
      </c>
      <c r="H635" s="104">
        <f>SUM(G472)</f>
        <v>170165.25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35976.620000000003</v>
      </c>
      <c r="H637" s="164">
        <f>SUM(J468)</f>
        <v>35976.620000000003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272108.5</v>
      </c>
      <c r="H641" s="104">
        <f>SUM(H461)</f>
        <v>272108.5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272108.5</v>
      </c>
      <c r="H642" s="104">
        <f>SUM(I461)</f>
        <v>272108.5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10976.62</v>
      </c>
      <c r="H644" s="104">
        <f>H408</f>
        <v>10976.62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</v>
      </c>
      <c r="H645" s="104">
        <f>G408</f>
        <v>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35976.620000000003</v>
      </c>
      <c r="H646" s="104">
        <f>L408</f>
        <v>35976.620000000003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596016.06999999995</v>
      </c>
      <c r="H647" s="104">
        <f>L208+L226+L244</f>
        <v>596016.06999999995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258219.00999999995</v>
      </c>
      <c r="H648" s="104">
        <f>(J257+J338)-(J255+J336)</f>
        <v>258219.01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288569.20999999996</v>
      </c>
      <c r="H649" s="104">
        <f>H598</f>
        <v>288569.21000000002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307446.86</v>
      </c>
      <c r="H651" s="104">
        <f>J598</f>
        <v>307446.86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</v>
      </c>
      <c r="H655" s="104">
        <f>K266+K347</f>
        <v>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6674859.4799999995</v>
      </c>
      <c r="G660" s="19">
        <f>(L229+L309+L359)</f>
        <v>0</v>
      </c>
      <c r="H660" s="19">
        <f>(L247+L328+L360)</f>
        <v>4792316.4300000006</v>
      </c>
      <c r="I660" s="19">
        <f>SUM(F660:H660)</f>
        <v>11467175.91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144643.32999999999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144643.32999999999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288569.20999999996</v>
      </c>
      <c r="G662" s="19">
        <f>(L226+L306)-(J226+J306)</f>
        <v>0</v>
      </c>
      <c r="H662" s="19">
        <f>(L244+L325)-(J244+J325)</f>
        <v>307446.86</v>
      </c>
      <c r="I662" s="19">
        <f>SUM(F662:H662)</f>
        <v>596016.06999999995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232381.76999999996</v>
      </c>
      <c r="G663" s="199">
        <f>SUM(G575:G587)+SUM(I602:I604)+L612</f>
        <v>0</v>
      </c>
      <c r="H663" s="199">
        <f>SUM(H575:H587)+SUM(J602:J604)+L613</f>
        <v>4251586.9000000004</v>
      </c>
      <c r="I663" s="19">
        <f>SUM(F663:H663)</f>
        <v>4483968.67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6009265.1699999999</v>
      </c>
      <c r="G664" s="19">
        <f>G660-SUM(G661:G663)</f>
        <v>0</v>
      </c>
      <c r="H664" s="19">
        <f>H660-SUM(H661:H663)</f>
        <v>233282.66999999993</v>
      </c>
      <c r="I664" s="19">
        <f>I660-SUM(I661:I663)</f>
        <v>6242547.8399999999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507.74</v>
      </c>
      <c r="G665" s="248"/>
      <c r="H665" s="248"/>
      <c r="I665" s="19">
        <f>SUM(F665:H665)</f>
        <v>507.74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11835.32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12294.77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-233282.67</v>
      </c>
      <c r="I669" s="19">
        <f>SUM(F669:H669)</f>
        <v>-233282.67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11835.32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11835.32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9" workbookViewId="0">
      <selection activeCell="B21" sqref="B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CHESTER ACHOOL DISTRICT SAU #82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1909522.99</v>
      </c>
      <c r="C9" s="229">
        <f>'DOE25'!G197+'DOE25'!G215+'DOE25'!G233+'DOE25'!G276+'DOE25'!G295+'DOE25'!G314</f>
        <v>814178.47000000009</v>
      </c>
    </row>
    <row r="10" spans="1:3" x14ac:dyDescent="0.2">
      <c r="A10" t="s">
        <v>779</v>
      </c>
      <c r="B10" s="240">
        <f>1769621.83+17631.45+25133.26+18900+3198+250+0.1+17850.5+2318.56+5000</f>
        <v>1859903.7000000002</v>
      </c>
      <c r="C10" s="240">
        <f>365010.15+23500.08+134166.01-3495.92-299.96+1366.92+2580.77+5365.97+266332.5-94.61+5486+5495.91+244.64+288.62+19.51+18.46+19.57+1328.98+1190.82+140.19+108.6+370.82+783.5+30+425.06</f>
        <v>810382.58999999985</v>
      </c>
    </row>
    <row r="11" spans="1:3" x14ac:dyDescent="0.2">
      <c r="A11" t="s">
        <v>780</v>
      </c>
      <c r="B11" s="240">
        <v>3921</v>
      </c>
      <c r="C11" s="240">
        <v>299.95999999999998</v>
      </c>
    </row>
    <row r="12" spans="1:3" x14ac:dyDescent="0.2">
      <c r="A12" t="s">
        <v>781</v>
      </c>
      <c r="B12" s="240">
        <f>40283.29+5415</f>
        <v>45698.29</v>
      </c>
      <c r="C12" s="240">
        <v>3495.92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1909522.9900000002</v>
      </c>
      <c r="C13" s="231">
        <f>SUM(C10:C12)</f>
        <v>814178.46999999986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691851.52</v>
      </c>
      <c r="C18" s="229">
        <f>'DOE25'!G198+'DOE25'!G216+'DOE25'!G234+'DOE25'!G277+'DOE25'!G296+'DOE25'!G315</f>
        <v>189395.46</v>
      </c>
    </row>
    <row r="19" spans="1:3" x14ac:dyDescent="0.2">
      <c r="A19" t="s">
        <v>779</v>
      </c>
      <c r="B19" s="240">
        <f>313140.36+3131.11+4608</f>
        <v>320879.46999999997</v>
      </c>
      <c r="C19" s="240">
        <f>76901.23+3777.3+510.58+2014.02+5.43+49652.55+239.54+1497.44+48788.59+3834.81+2173.97-25352.83</f>
        <v>164042.63</v>
      </c>
    </row>
    <row r="20" spans="1:3" x14ac:dyDescent="0.2">
      <c r="A20" t="s">
        <v>780</v>
      </c>
      <c r="B20" s="240">
        <f>310150.22+39562.56</f>
        <v>349712.77999999997</v>
      </c>
      <c r="C20" s="240">
        <f>25352.83-1626.33</f>
        <v>23726.5</v>
      </c>
    </row>
    <row r="21" spans="1:3" x14ac:dyDescent="0.2">
      <c r="A21" t="s">
        <v>781</v>
      </c>
      <c r="B21" s="240">
        <v>21259.27</v>
      </c>
      <c r="C21" s="240">
        <v>1626.33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691851.52</v>
      </c>
      <c r="C22" s="231">
        <f>SUM(C19:C21)</f>
        <v>189395.46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55590</v>
      </c>
      <c r="C36" s="235">
        <f>'DOE25'!G200+'DOE25'!G218+'DOE25'!G236+'DOE25'!G279+'DOE25'!G298+'DOE25'!G317</f>
        <v>11820.07</v>
      </c>
    </row>
    <row r="37" spans="1:3" x14ac:dyDescent="0.2">
      <c r="A37" t="s">
        <v>779</v>
      </c>
      <c r="B37" s="240">
        <f>16660+38930</f>
        <v>55590</v>
      </c>
      <c r="C37" s="240">
        <f>4107.29+75.96+7636.82</f>
        <v>11820.07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55590</v>
      </c>
      <c r="C40" s="231">
        <f>SUM(C37:C39)</f>
        <v>11820.07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CHESTER ACHOOL DISTRICT SAU #82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8102434.3899999997</v>
      </c>
      <c r="D5" s="20">
        <f>SUM('DOE25'!L197:L200)+SUM('DOE25'!L215:L218)+SUM('DOE25'!L233:L236)-F5-G5</f>
        <v>8071307.5599999996</v>
      </c>
      <c r="E5" s="243"/>
      <c r="F5" s="255">
        <f>SUM('DOE25'!J197:J200)+SUM('DOE25'!J215:J218)+SUM('DOE25'!J233:J236)</f>
        <v>31126.83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522802.8</v>
      </c>
      <c r="D6" s="20">
        <f>'DOE25'!L202+'DOE25'!L220+'DOE25'!L238-F6-G6</f>
        <v>522802.8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401786.24000000005</v>
      </c>
      <c r="D7" s="20">
        <f>'DOE25'!L203+'DOE25'!L221+'DOE25'!L239-F7-G7</f>
        <v>288117.41000000003</v>
      </c>
      <c r="E7" s="243"/>
      <c r="F7" s="255">
        <f>'DOE25'!J203+'DOE25'!J221+'DOE25'!J239</f>
        <v>113668.83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261387.77999999994</v>
      </c>
      <c r="D8" s="243"/>
      <c r="E8" s="20">
        <f>'DOE25'!L204+'DOE25'!L222+'DOE25'!L240-F8-G8-D9-D11</f>
        <v>250201.62999999995</v>
      </c>
      <c r="F8" s="255">
        <f>'DOE25'!J204+'DOE25'!J222+'DOE25'!J240</f>
        <v>1620</v>
      </c>
      <c r="G8" s="53">
        <f>'DOE25'!K204+'DOE25'!K222+'DOE25'!K240</f>
        <v>9566.15</v>
      </c>
      <c r="H8" s="259"/>
    </row>
    <row r="9" spans="1:9" x14ac:dyDescent="0.2">
      <c r="A9" s="32">
        <v>2310</v>
      </c>
      <c r="B9" t="s">
        <v>818</v>
      </c>
      <c r="C9" s="245">
        <f t="shared" si="0"/>
        <v>35868.67</v>
      </c>
      <c r="D9" s="244">
        <f>36232.67-364</f>
        <v>35868.67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12725</v>
      </c>
      <c r="D10" s="243"/>
      <c r="E10" s="244">
        <v>12725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183589.24</v>
      </c>
      <c r="D11" s="244">
        <f>94000.24+2339.2+26679.36+6924.5+14382.5+461.04+322.32+197.56+5700-1112+614.72-153.68+2980.08+92.4+1896.18+3848-750.6+249.76-62.45+25.76+467.52+661.79+2013.45+750+8435.09+847.63+30.5+1374.72+3200+214.28+3849.58+1982.5+2127.29-1000</f>
        <v>183589.24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376784.22</v>
      </c>
      <c r="D12" s="20">
        <f>'DOE25'!L205+'DOE25'!L223+'DOE25'!L241-F12-G12</f>
        <v>367994.61</v>
      </c>
      <c r="E12" s="243"/>
      <c r="F12" s="255">
        <f>'DOE25'!J205+'DOE25'!J223+'DOE25'!J241</f>
        <v>6912</v>
      </c>
      <c r="G12" s="53">
        <f>'DOE25'!K205+'DOE25'!K223+'DOE25'!K241</f>
        <v>1877.61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547697.92999999993</v>
      </c>
      <c r="D14" s="20">
        <f>'DOE25'!L207+'DOE25'!L225+'DOE25'!L243-F14-G14</f>
        <v>468643.81999999995</v>
      </c>
      <c r="E14" s="243"/>
      <c r="F14" s="255">
        <f>'DOE25'!J207+'DOE25'!J225+'DOE25'!J243</f>
        <v>79054.11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596016.06999999995</v>
      </c>
      <c r="D15" s="20">
        <f>'DOE25'!L208+'DOE25'!L226+'DOE25'!L244-F15-G15</f>
        <v>596016.06999999995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328050</v>
      </c>
      <c r="D25" s="243"/>
      <c r="E25" s="243"/>
      <c r="F25" s="258"/>
      <c r="G25" s="256"/>
      <c r="H25" s="257">
        <f>'DOE25'!L260+'DOE25'!L261+'DOE25'!L341+'DOE25'!L342</f>
        <v>328050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93573.87</v>
      </c>
      <c r="D29" s="20">
        <f>'DOE25'!L358+'DOE25'!L359+'DOE25'!L360-'DOE25'!I367-F29-G29</f>
        <v>92816.72</v>
      </c>
      <c r="E29" s="243"/>
      <c r="F29" s="255">
        <f>'DOE25'!J358+'DOE25'!J359+'DOE25'!J360</f>
        <v>757.15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268643.31999999995</v>
      </c>
      <c r="D31" s="20">
        <f>'DOE25'!L290+'DOE25'!L309+'DOE25'!L328+'DOE25'!L333+'DOE25'!L334+'DOE25'!L335-F31-G31</f>
        <v>242756.07999999996</v>
      </c>
      <c r="E31" s="243"/>
      <c r="F31" s="255">
        <f>'DOE25'!J290+'DOE25'!J309+'DOE25'!J328+'DOE25'!J333+'DOE25'!J334+'DOE25'!J335</f>
        <v>25837.24</v>
      </c>
      <c r="G31" s="53">
        <f>'DOE25'!K290+'DOE25'!K309+'DOE25'!K328+'DOE25'!K333+'DOE25'!K334+'DOE25'!K335</f>
        <v>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10869912.98</v>
      </c>
      <c r="E33" s="246">
        <f>SUM(E5:E31)</f>
        <v>262926.62999999995</v>
      </c>
      <c r="F33" s="246">
        <f>SUM(F5:F31)</f>
        <v>258976.16</v>
      </c>
      <c r="G33" s="246">
        <f>SUM(G5:G31)</f>
        <v>11493.76</v>
      </c>
      <c r="H33" s="246">
        <f>SUM(H5:H31)</f>
        <v>328050</v>
      </c>
    </row>
    <row r="35" spans="2:8" ht="12" thickBot="1" x14ac:dyDescent="0.25">
      <c r="B35" s="253" t="s">
        <v>847</v>
      </c>
      <c r="D35" s="254">
        <f>E33</f>
        <v>262926.62999999995</v>
      </c>
      <c r="E35" s="249"/>
    </row>
    <row r="36" spans="2:8" ht="12" thickTop="1" x14ac:dyDescent="0.2">
      <c r="B36" t="s">
        <v>815</v>
      </c>
      <c r="D36" s="20">
        <f>D33</f>
        <v>10869912.98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41" activePane="bottomLeft" state="frozen"/>
      <selection activeCell="F46" sqref="F46"/>
      <selection pane="bottomLeft" activeCell="I141" sqref="I14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CHESTER ACHOOL DISTRICT SAU #82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533066.48</v>
      </c>
      <c r="D8" s="95">
        <f>'DOE25'!G9</f>
        <v>47946.86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272108.5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79551.249999999985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19230.21</v>
      </c>
      <c r="D12" s="95">
        <f>'DOE25'!G13</f>
        <v>1507.58</v>
      </c>
      <c r="E12" s="95">
        <f>'DOE25'!H13</f>
        <v>67664.05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11154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1778.94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1400</v>
      </c>
      <c r="D16" s="95">
        <f>'DOE25'!G17</f>
        <v>450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644401.93999999994</v>
      </c>
      <c r="D18" s="41">
        <f>SUM(D8:D17)</f>
        <v>51683.380000000005</v>
      </c>
      <c r="E18" s="41">
        <f>SUM(E8:E17)</f>
        <v>67664.05</v>
      </c>
      <c r="F18" s="41">
        <f>SUM(F8:F17)</f>
        <v>0</v>
      </c>
      <c r="G18" s="41">
        <f>SUM(G8:G17)</f>
        <v>272108.5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11895.43</v>
      </c>
      <c r="E21" s="95">
        <f>'DOE25'!H22</f>
        <v>60334.53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107678.40999999999</v>
      </c>
      <c r="D23" s="95">
        <f>'DOE25'!G24</f>
        <v>0</v>
      </c>
      <c r="E23" s="95">
        <f>'DOE25'!H24</f>
        <v>7329.52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12221.73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4169.1100000000006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11024</v>
      </c>
      <c r="D29" s="95">
        <f>'DOE25'!G30</f>
        <v>4919.04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135093.25</v>
      </c>
      <c r="D31" s="41">
        <f>SUM(D21:D30)</f>
        <v>16814.47</v>
      </c>
      <c r="E31" s="41">
        <f>SUM(E21:E30)</f>
        <v>67664.05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2228.94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1400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7321.29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32639.970000000005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200000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393.82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272108.5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39771.97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260421.61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509308.69</v>
      </c>
      <c r="D50" s="41">
        <f>SUM(D34:D49)</f>
        <v>34868.910000000003</v>
      </c>
      <c r="E50" s="41">
        <f>SUM(E34:E49)</f>
        <v>0</v>
      </c>
      <c r="F50" s="41">
        <f>SUM(F34:F49)</f>
        <v>0</v>
      </c>
      <c r="G50" s="41">
        <f>SUM(G34:G49)</f>
        <v>272108.5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644401.93999999994</v>
      </c>
      <c r="D51" s="41">
        <f>D50+D31</f>
        <v>51683.380000000005</v>
      </c>
      <c r="E51" s="41">
        <f>E50+E31</f>
        <v>67664.05</v>
      </c>
      <c r="F51" s="41">
        <f>F50+F31</f>
        <v>0</v>
      </c>
      <c r="G51" s="41">
        <f>G50+G31</f>
        <v>272108.5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7129729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15831.32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197.19</v>
      </c>
      <c r="D59" s="95">
        <f>'DOE25'!G96</f>
        <v>73.900000000000006</v>
      </c>
      <c r="E59" s="95">
        <f>'DOE25'!H96</f>
        <v>0</v>
      </c>
      <c r="F59" s="95">
        <f>'DOE25'!I96</f>
        <v>0</v>
      </c>
      <c r="G59" s="95">
        <f>'DOE25'!J96</f>
        <v>10976.62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144643.32999999999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43325.64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59354.15</v>
      </c>
      <c r="D62" s="130">
        <f>SUM(D57:D61)</f>
        <v>144717.22999999998</v>
      </c>
      <c r="E62" s="130">
        <f>SUM(E57:E61)</f>
        <v>0</v>
      </c>
      <c r="F62" s="130">
        <f>SUM(F57:F61)</f>
        <v>0</v>
      </c>
      <c r="G62" s="130">
        <f>SUM(G57:G61)</f>
        <v>10976.62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7189083.1500000004</v>
      </c>
      <c r="D63" s="22">
        <f>D56+D62</f>
        <v>144717.22999999998</v>
      </c>
      <c r="E63" s="22">
        <f>E56+E62</f>
        <v>0</v>
      </c>
      <c r="F63" s="22">
        <f>F56+F62</f>
        <v>0</v>
      </c>
      <c r="G63" s="22">
        <f>G56+G62</f>
        <v>10976.62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2835680.95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1148146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3983826.95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90000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82653.7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2569.67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172653.7</v>
      </c>
      <c r="D78" s="130">
        <f>SUM(D72:D77)</f>
        <v>2569.67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4156480.6500000004</v>
      </c>
      <c r="D81" s="130">
        <f>SUM(D79:D80)+D78+D70</f>
        <v>2569.67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121303.91</v>
      </c>
      <c r="D88" s="95">
        <f>SUM('DOE25'!G153:G161)</f>
        <v>33062.97</v>
      </c>
      <c r="E88" s="95">
        <f>SUM('DOE25'!H153:H161)</f>
        <v>268643.21999999997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121303.91</v>
      </c>
      <c r="D91" s="131">
        <f>SUM(D85:D90)</f>
        <v>33062.97</v>
      </c>
      <c r="E91" s="131">
        <f>SUM(E85:E90)</f>
        <v>268643.21999999997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7321.29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7321.29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765</v>
      </c>
      <c r="C104" s="86">
        <f>C63+C81+C91+C103</f>
        <v>11474189</v>
      </c>
      <c r="D104" s="86">
        <f>D63+D81+D91+D103</f>
        <v>180349.87</v>
      </c>
      <c r="E104" s="86">
        <f>E63+E81+E91+E103</f>
        <v>268643.21999999997</v>
      </c>
      <c r="F104" s="86">
        <f>F63+F81+F91+F103</f>
        <v>0</v>
      </c>
      <c r="G104" s="86">
        <f>G63+G81+G103</f>
        <v>35976.620000000003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6283570.3799999999</v>
      </c>
      <c r="D109" s="24" t="s">
        <v>289</v>
      </c>
      <c r="E109" s="95">
        <f>('DOE25'!L276)+('DOE25'!L295)+('DOE25'!L314)</f>
        <v>88619.72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1739982.2199999997</v>
      </c>
      <c r="D110" s="24" t="s">
        <v>289</v>
      </c>
      <c r="E110" s="95">
        <f>('DOE25'!L277)+('DOE25'!L296)+('DOE25'!L315)</f>
        <v>104839.63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78881.790000000008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8102434.3899999997</v>
      </c>
      <c r="D115" s="86">
        <f>SUM(D109:D114)</f>
        <v>0</v>
      </c>
      <c r="E115" s="86">
        <f>SUM(E109:E114)</f>
        <v>193459.35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522802.8</v>
      </c>
      <c r="D118" s="24" t="s">
        <v>289</v>
      </c>
      <c r="E118" s="95">
        <f>+('DOE25'!L281)+('DOE25'!L300)+('DOE25'!L319)</f>
        <v>70100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401786.24000000005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480845.68999999994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376784.22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547697.92999999993</v>
      </c>
      <c r="D123" s="24" t="s">
        <v>289</v>
      </c>
      <c r="E123" s="95">
        <f>+('DOE25'!L286)+('DOE25'!L305)+('DOE25'!L324)</f>
        <v>5083.97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596016.06999999995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170165.25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2925932.9499999997</v>
      </c>
      <c r="D128" s="86">
        <f>SUM(D118:D127)</f>
        <v>170165.25</v>
      </c>
      <c r="E128" s="86">
        <f>SUM(E118:E127)</f>
        <v>75183.97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300000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28050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35976.620000000003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-10976.620000000003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353050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11381417.34</v>
      </c>
      <c r="D145" s="86">
        <f>(D115+D128+D144)</f>
        <v>170165.25</v>
      </c>
      <c r="E145" s="86">
        <f>(E115+E128+E144)</f>
        <v>268643.32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01/12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07/18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2076000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1.24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1135000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1135000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300000</v>
      </c>
    </row>
    <row r="159" spans="1:9" x14ac:dyDescent="0.2">
      <c r="A159" s="22" t="s">
        <v>35</v>
      </c>
      <c r="B159" s="137">
        <f>'DOE25'!F498</f>
        <v>835000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835000</v>
      </c>
    </row>
    <row r="160" spans="1:9" x14ac:dyDescent="0.2">
      <c r="A160" s="22" t="s">
        <v>36</v>
      </c>
      <c r="B160" s="137">
        <f>'DOE25'!F499</f>
        <v>36675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36675</v>
      </c>
    </row>
    <row r="161" spans="1:7" x14ac:dyDescent="0.2">
      <c r="A161" s="22" t="s">
        <v>37</v>
      </c>
      <c r="B161" s="137">
        <f>'DOE25'!F500</f>
        <v>871675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871675</v>
      </c>
    </row>
    <row r="162" spans="1:7" x14ac:dyDescent="0.2">
      <c r="A162" s="22" t="s">
        <v>38</v>
      </c>
      <c r="B162" s="137">
        <f>'DOE25'!F501</f>
        <v>290000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290000</v>
      </c>
    </row>
    <row r="163" spans="1:7" x14ac:dyDescent="0.2">
      <c r="A163" s="22" t="s">
        <v>39</v>
      </c>
      <c r="B163" s="137">
        <f>'DOE25'!F502</f>
        <v>20700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20700</v>
      </c>
    </row>
    <row r="164" spans="1:7" x14ac:dyDescent="0.2">
      <c r="A164" s="22" t="s">
        <v>246</v>
      </c>
      <c r="B164" s="137">
        <f>'DOE25'!F503</f>
        <v>310700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310700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28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CHESTER ACHOOL DISTRICT SAU #82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11835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11835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6372190</v>
      </c>
      <c r="D10" s="182">
        <f>ROUND((C10/$C$28)*100,1)</f>
        <v>56.1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1844822</v>
      </c>
      <c r="D11" s="182">
        <f>ROUND((C11/$C$28)*100,1)</f>
        <v>16.3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78882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592903</v>
      </c>
      <c r="D15" s="182">
        <f t="shared" ref="D15:D27" si="0">ROUND((C15/$C$28)*100,1)</f>
        <v>5.2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401786</v>
      </c>
      <c r="D16" s="182">
        <f t="shared" si="0"/>
        <v>3.5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480846</v>
      </c>
      <c r="D17" s="182">
        <f t="shared" si="0"/>
        <v>4.2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376784</v>
      </c>
      <c r="D18" s="182">
        <f t="shared" si="0"/>
        <v>3.3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552782</v>
      </c>
      <c r="D20" s="182">
        <f t="shared" si="0"/>
        <v>4.9000000000000004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596016</v>
      </c>
      <c r="D21" s="182">
        <f t="shared" si="0"/>
        <v>5.3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28050</v>
      </c>
      <c r="D25" s="182">
        <f t="shared" si="0"/>
        <v>0.2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25521.670000000013</v>
      </c>
      <c r="D27" s="182">
        <f t="shared" si="0"/>
        <v>0.2</v>
      </c>
    </row>
    <row r="28" spans="1:4" x14ac:dyDescent="0.2">
      <c r="B28" s="187" t="s">
        <v>723</v>
      </c>
      <c r="C28" s="180">
        <f>SUM(C10:C27)</f>
        <v>11350582.67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11350582.67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300000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7129729</v>
      </c>
      <c r="D35" s="182">
        <f t="shared" ref="D35:D40" si="1">ROUND((C35/$C$41)*100,1)</f>
        <v>60.5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70404.670000000857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3983827</v>
      </c>
      <c r="D37" s="182">
        <f t="shared" si="1"/>
        <v>33.799999999999997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175223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423010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11782193.670000002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CHESTER ACHOOL DISTRICT SAU #82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2016-08-29T12:45:25Z</cp:lastPrinted>
  <dcterms:created xsi:type="dcterms:W3CDTF">1997-12-04T19:04:30Z</dcterms:created>
  <dcterms:modified xsi:type="dcterms:W3CDTF">2016-08-29T12:45:30Z</dcterms:modified>
</cp:coreProperties>
</file>