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 activeTab="3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G611" i="1"/>
  <c r="H526" i="1" l="1"/>
  <c r="J526" i="1"/>
  <c r="I526" i="1"/>
  <c r="F526" i="1"/>
  <c r="G526" i="1"/>
  <c r="J521" i="1"/>
  <c r="I521" i="1"/>
  <c r="H521" i="1"/>
  <c r="G521" i="1"/>
  <c r="F521" i="1"/>
  <c r="J96" i="1"/>
  <c r="F367" i="1"/>
  <c r="I358" i="1"/>
  <c r="H358" i="1"/>
  <c r="G358" i="1"/>
  <c r="H282" i="1"/>
  <c r="I277" i="1"/>
  <c r="J277" i="1"/>
  <c r="J276" i="1"/>
  <c r="I276" i="1"/>
  <c r="G276" i="1"/>
  <c r="F276" i="1"/>
  <c r="H244" i="1"/>
  <c r="J202" i="1"/>
  <c r="I205" i="1"/>
  <c r="I203" i="1"/>
  <c r="I202" i="1"/>
  <c r="I200" i="1"/>
  <c r="H207" i="1"/>
  <c r="H209" i="1"/>
  <c r="H208" i="1"/>
  <c r="H204" i="1"/>
  <c r="H203" i="1"/>
  <c r="H202" i="1"/>
  <c r="G209" i="1"/>
  <c r="G204" i="1"/>
  <c r="G203" i="1"/>
  <c r="G202" i="1"/>
  <c r="G200" i="1"/>
  <c r="G198" i="1"/>
  <c r="F204" i="1"/>
  <c r="F203" i="1"/>
  <c r="F202" i="1"/>
  <c r="F200" i="1"/>
  <c r="F198" i="1"/>
  <c r="H159" i="1"/>
  <c r="H155" i="1"/>
  <c r="H154" i="1"/>
  <c r="H150" i="1"/>
  <c r="G97" i="1"/>
  <c r="F110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C12" i="10" s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H647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C11" i="10" s="1"/>
  <c r="L278" i="1"/>
  <c r="L279" i="1"/>
  <c r="L281" i="1"/>
  <c r="L282" i="1"/>
  <c r="L283" i="1"/>
  <c r="L284" i="1"/>
  <c r="L285" i="1"/>
  <c r="C19" i="10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3" i="1" s="1"/>
  <c r="C138" i="2" s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L250" i="1"/>
  <c r="L332" i="1"/>
  <c r="L254" i="1"/>
  <c r="C25" i="10"/>
  <c r="L268" i="1"/>
  <c r="L269" i="1"/>
  <c r="L349" i="1"/>
  <c r="L350" i="1"/>
  <c r="I665" i="1"/>
  <c r="I670" i="1"/>
  <c r="L229" i="1"/>
  <c r="L247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K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C119" i="2"/>
  <c r="E119" i="2"/>
  <c r="E120" i="2"/>
  <c r="E121" i="2"/>
  <c r="C122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G32" i="1"/>
  <c r="G52" i="1" s="1"/>
  <c r="H618" i="1" s="1"/>
  <c r="H32" i="1"/>
  <c r="I32" i="1"/>
  <c r="H617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J640" i="1" s="1"/>
  <c r="H446" i="1"/>
  <c r="F452" i="1"/>
  <c r="G452" i="1"/>
  <c r="H452" i="1"/>
  <c r="I452" i="1"/>
  <c r="F460" i="1"/>
  <c r="F461" i="1" s="1"/>
  <c r="H639" i="1" s="1"/>
  <c r="G460" i="1"/>
  <c r="H460" i="1"/>
  <c r="G461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40" i="1"/>
  <c r="G641" i="1"/>
  <c r="H641" i="1"/>
  <c r="G643" i="1"/>
  <c r="H643" i="1"/>
  <c r="G644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26" i="10"/>
  <c r="L328" i="1"/>
  <c r="L351" i="1"/>
  <c r="A31" i="12"/>
  <c r="C70" i="2"/>
  <c r="D18" i="13"/>
  <c r="C18" i="13" s="1"/>
  <c r="D7" i="13"/>
  <c r="C7" i="13" s="1"/>
  <c r="D18" i="2"/>
  <c r="D17" i="13"/>
  <c r="C17" i="13" s="1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G62" i="2"/>
  <c r="D19" i="13"/>
  <c r="C19" i="13" s="1"/>
  <c r="E13" i="13"/>
  <c r="C13" i="13" s="1"/>
  <c r="E78" i="2"/>
  <c r="E81" i="2" s="1"/>
  <c r="L427" i="1"/>
  <c r="F112" i="1"/>
  <c r="J641" i="1"/>
  <c r="K605" i="1"/>
  <c r="G648" i="1" s="1"/>
  <c r="J571" i="1"/>
  <c r="K571" i="1"/>
  <c r="L433" i="1"/>
  <c r="L419" i="1"/>
  <c r="D81" i="2"/>
  <c r="I169" i="1"/>
  <c r="J643" i="1"/>
  <c r="J476" i="1"/>
  <c r="H626" i="1" s="1"/>
  <c r="H476" i="1"/>
  <c r="H624" i="1" s="1"/>
  <c r="G338" i="1"/>
  <c r="G352" i="1" s="1"/>
  <c r="F169" i="1"/>
  <c r="J140" i="1"/>
  <c r="F571" i="1"/>
  <c r="I552" i="1"/>
  <c r="G22" i="2"/>
  <c r="K545" i="1"/>
  <c r="J552" i="1"/>
  <c r="H552" i="1"/>
  <c r="C29" i="10"/>
  <c r="H140" i="1"/>
  <c r="L401" i="1"/>
  <c r="C139" i="2" s="1"/>
  <c r="F22" i="13"/>
  <c r="H25" i="13"/>
  <c r="C25" i="13" s="1"/>
  <c r="J651" i="1"/>
  <c r="H571" i="1"/>
  <c r="L560" i="1"/>
  <c r="H338" i="1"/>
  <c r="H352" i="1" s="1"/>
  <c r="F338" i="1"/>
  <c r="F352" i="1" s="1"/>
  <c r="G192" i="1"/>
  <c r="H192" i="1"/>
  <c r="L309" i="1"/>
  <c r="E16" i="13"/>
  <c r="J655" i="1"/>
  <c r="L570" i="1"/>
  <c r="I571" i="1"/>
  <c r="J636" i="1"/>
  <c r="G36" i="2"/>
  <c r="L565" i="1"/>
  <c r="G545" i="1"/>
  <c r="K551" i="1"/>
  <c r="C22" i="13"/>
  <c r="H33" i="13"/>
  <c r="A40" i="12" l="1"/>
  <c r="A13" i="12"/>
  <c r="K598" i="1"/>
  <c r="G647" i="1" s="1"/>
  <c r="J647" i="1" s="1"/>
  <c r="L544" i="1"/>
  <c r="H545" i="1"/>
  <c r="J545" i="1"/>
  <c r="I545" i="1"/>
  <c r="L529" i="1"/>
  <c r="K549" i="1"/>
  <c r="K552" i="1" s="1"/>
  <c r="L524" i="1"/>
  <c r="F552" i="1"/>
  <c r="I476" i="1"/>
  <c r="H625" i="1" s="1"/>
  <c r="J625" i="1" s="1"/>
  <c r="G645" i="1"/>
  <c r="G476" i="1"/>
  <c r="H623" i="1" s="1"/>
  <c r="J623" i="1" s="1"/>
  <c r="F476" i="1"/>
  <c r="H622" i="1" s="1"/>
  <c r="J639" i="1"/>
  <c r="I460" i="1"/>
  <c r="I461" i="1" s="1"/>
  <c r="H642" i="1" s="1"/>
  <c r="I446" i="1"/>
  <c r="G642" i="1" s="1"/>
  <c r="H408" i="1"/>
  <c r="H644" i="1" s="1"/>
  <c r="J644" i="1" s="1"/>
  <c r="G408" i="1"/>
  <c r="H645" i="1" s="1"/>
  <c r="I369" i="1"/>
  <c r="H634" i="1" s="1"/>
  <c r="J634" i="1" s="1"/>
  <c r="D29" i="13"/>
  <c r="C29" i="13" s="1"/>
  <c r="G661" i="1"/>
  <c r="L362" i="1"/>
  <c r="G635" i="1" s="1"/>
  <c r="J635" i="1" s="1"/>
  <c r="F661" i="1"/>
  <c r="D127" i="2"/>
  <c r="D128" i="2" s="1"/>
  <c r="D145" i="2" s="1"/>
  <c r="E128" i="2"/>
  <c r="E145" i="2" s="1"/>
  <c r="L290" i="1"/>
  <c r="L338" i="1" s="1"/>
  <c r="L352" i="1" s="1"/>
  <c r="G633" i="1" s="1"/>
  <c r="J633" i="1" s="1"/>
  <c r="C16" i="10"/>
  <c r="E115" i="2"/>
  <c r="J338" i="1"/>
  <c r="J352" i="1" s="1"/>
  <c r="K271" i="1"/>
  <c r="H660" i="1"/>
  <c r="H664" i="1" s="1"/>
  <c r="H667" i="1" s="1"/>
  <c r="H257" i="1"/>
  <c r="H271" i="1" s="1"/>
  <c r="C10" i="10"/>
  <c r="D12" i="13"/>
  <c r="C12" i="13" s="1"/>
  <c r="E8" i="13"/>
  <c r="C8" i="13" s="1"/>
  <c r="C18" i="10"/>
  <c r="D6" i="13"/>
  <c r="C6" i="13" s="1"/>
  <c r="F662" i="1"/>
  <c r="I662" i="1" s="1"/>
  <c r="C21" i="10"/>
  <c r="C124" i="2"/>
  <c r="G649" i="1"/>
  <c r="J649" i="1" s="1"/>
  <c r="D15" i="13"/>
  <c r="C15" i="13" s="1"/>
  <c r="D14" i="13"/>
  <c r="C14" i="13" s="1"/>
  <c r="C121" i="2"/>
  <c r="C17" i="10"/>
  <c r="C16" i="13"/>
  <c r="C123" i="2"/>
  <c r="C118" i="2"/>
  <c r="C15" i="10"/>
  <c r="L211" i="1"/>
  <c r="C112" i="2"/>
  <c r="C115" i="2" s="1"/>
  <c r="D5" i="13"/>
  <c r="C5" i="13" s="1"/>
  <c r="C81" i="2"/>
  <c r="C63" i="2"/>
  <c r="J624" i="1"/>
  <c r="H52" i="1"/>
  <c r="H619" i="1" s="1"/>
  <c r="J619" i="1" s="1"/>
  <c r="J622" i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G571" i="1"/>
  <c r="I434" i="1"/>
  <c r="G434" i="1"/>
  <c r="E104" i="2"/>
  <c r="I663" i="1"/>
  <c r="C27" i="10"/>
  <c r="L545" i="1" l="1"/>
  <c r="G104" i="2"/>
  <c r="J645" i="1"/>
  <c r="J642" i="1"/>
  <c r="I661" i="1"/>
  <c r="G664" i="1"/>
  <c r="F660" i="1"/>
  <c r="F664" i="1" s="1"/>
  <c r="F672" i="1" s="1"/>
  <c r="C4" i="10" s="1"/>
  <c r="D31" i="13"/>
  <c r="C31" i="13" s="1"/>
  <c r="H672" i="1"/>
  <c r="C6" i="10" s="1"/>
  <c r="E33" i="13"/>
  <c r="D35" i="13" s="1"/>
  <c r="C128" i="2"/>
  <c r="C145" i="2" s="1"/>
  <c r="C28" i="10"/>
  <c r="D23" i="10" s="1"/>
  <c r="L257" i="1"/>
  <c r="L271" i="1" s="1"/>
  <c r="G632" i="1" s="1"/>
  <c r="J632" i="1" s="1"/>
  <c r="C104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F667" i="1" l="1"/>
  <c r="G667" i="1"/>
  <c r="G672" i="1"/>
  <c r="C5" i="10" s="1"/>
  <c r="D33" i="13"/>
  <c r="D36" i="13" s="1"/>
  <c r="I660" i="1"/>
  <c r="I664" i="1" s="1"/>
  <c r="I672" i="1" s="1"/>
  <c r="C7" i="10" s="1"/>
  <c r="D13" i="10"/>
  <c r="D21" i="10"/>
  <c r="D15" i="10"/>
  <c r="D19" i="10"/>
  <c r="D11" i="10"/>
  <c r="D22" i="10"/>
  <c r="D20" i="10"/>
  <c r="D25" i="10"/>
  <c r="D27" i="10"/>
  <c r="D18" i="10"/>
  <c r="D17" i="10"/>
  <c r="D12" i="10"/>
  <c r="D24" i="10"/>
  <c r="D10" i="10"/>
  <c r="D26" i="10"/>
  <c r="C30" i="10"/>
  <c r="D16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<sst xmlns="http://schemas.openxmlformats.org/spreadsheetml/2006/main" count="3955" uniqueCount="913">
  <si>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</si>
  <si>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</si>
  <si>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</si>
  <si>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</si>
  <si>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</si>
  <si>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</si>
  <si>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</si>
  <si>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</si>
  <si>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</si>
  <si>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</si>
  <si>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</si>
  <si>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</si>
  <si>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</si>
  <si>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</si>
  <si>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</si>
  <si>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</si>
  <si>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</si>
  <si>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</si>
  <si>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</si>
  <si>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</si>
  <si>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</si>
  <si>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</si>
  <si>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</si>
  <si>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</si>
  <si>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</si>
  <si>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</si>
  <si>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</si>
  <si>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</si>
  <si>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</si>
  <si>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</si>
  <si>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</si>
  <si>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</si>
  <si>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</si>
  <si>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</si>
  <si>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</si>
  <si>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</si>
  <si>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</si>
  <si>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</si>
  <si>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</si>
  <si>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</si>
  <si>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</si>
  <si>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</si>
  <si>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</si>
  <si>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</si>
  <si>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</si>
  <si>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</si>
  <si>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</si>
  <si>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</si>
  <si>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</si>
  <si>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</si>
  <si>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</si>
  <si>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</si>
  <si>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</si>
  <si>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</si>
  <si>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</si>
  <si>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</si>
  <si>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</si>
  <si>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</si>
  <si>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</si>
  <si>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</si>
  <si>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</si>
  <si>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</si>
  <si>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</si>
  <si>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</si>
  <si>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</si>
  <si>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</si>
  <si>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</si>
  <si>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</si>
  <si>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</si>
  <si>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</si>
  <si>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</si>
  <si>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</si>
  <si>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</si>
  <si>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</si>
  <si>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</si>
  <si>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</si>
  <si>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</si>
  <si>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</si>
  <si>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</si>
  <si>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</si>
  <si>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</si>
  <si>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</si>
  <si>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</si>
  <si>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</si>
  <si>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</si>
  <si>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</si>
  <si>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</si>
  <si>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</si>
  <si>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</si>
  <si>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</si>
  <si>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</si>
  <si>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</si>
  <si>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</si>
  <si>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</si>
  <si>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</si>
  <si>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</si>
  <si>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</si>
  <si>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</si>
  <si>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</si>
  <si>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</si>
  <si>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</si>
  <si>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</si>
  <si>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</si>
  <si>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</si>
  <si>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</si>
  <si>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</si>
  <si>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</si>
  <si>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</si>
  <si>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</si>
  <si>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</si>
  <si>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</si>
  <si>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</si>
  <si>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</si>
  <si>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</si>
  <si>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</si>
  <si>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</si>
  <si>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</si>
  <si>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</si>
  <si>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</si>
  <si>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</si>
  <si>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</si>
  <si>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</si>
  <si>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</si>
  <si>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</si>
  <si>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</si>
  <si>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</si>
  <si>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</si>
  <si>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</si>
  <si>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</si>
  <si>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</si>
  <si>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</si>
  <si>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</si>
  <si>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</si>
  <si>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</si>
  <si>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</si>
  <si>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</si>
  <si>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</si>
  <si>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</si>
  <si>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</si>
  <si>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</si>
  <si>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</si>
  <si>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</si>
  <si>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</si>
  <si>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</si>
  <si>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</si>
  <si>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</si>
  <si>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</si>
  <si>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</si>
  <si>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</si>
  <si>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</si>
  <si>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</si>
  <si>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</si>
  <si>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</si>
  <si>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</si>
  <si>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</si>
  <si>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</si>
  <si>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</si>
  <si>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</si>
  <si>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</si>
  <si>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</si>
  <si>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</si>
  <si>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</si>
  <si>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</si>
  <si>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</si>
  <si>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</si>
  <si>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</si>
  <si>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</si>
  <si>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</si>
  <si>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</si>
  <si>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</si>
  <si>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</si>
  <si>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</si>
  <si>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</si>
  <si>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</si>
  <si>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</si>
  <si>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</si>
  <si>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</si>
  <si>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</si>
  <si>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</si>
  <si>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</si>
  <si>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</si>
  <si>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</si>
  <si>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</si>
  <si>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</si>
  <si>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</si>
  <si>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</si>
  <si>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</si>
  <si>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</si>
  <si>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</si>
  <si>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</si>
  <si>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</si>
  <si>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</si>
  <si>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</si>
  <si>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</si>
  <si>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</si>
  <si>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</si>
  <si>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</si>
  <si>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</si>
  <si>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</si>
  <si>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</si>
  <si>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</si>
  <si>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</si>
  <si>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</si>
  <si>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</si>
  <si>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</si>
  <si>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</si>
  <si>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</si>
  <si>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</si>
  <si>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</si>
  <si>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</si>
  <si>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</si>
  <si>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</si>
  <si>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</si>
  <si>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</si>
  <si>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</si>
  <si>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</si>
  <si>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</si>
  <si>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</si>
  <si>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</si>
  <si>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</si>
  <si>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</si>
  <si>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</si>
  <si>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</si>
  <si>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</si>
  <si>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</si>
  <si>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</si>
  <si>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</si>
  <si>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</si>
  <si>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</si>
  <si>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</si>
  <si>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</si>
  <si>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</si>
  <si>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</si>
  <si>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</si>
  <si>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</si>
  <si>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</si>
  <si>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</si>
  <si>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</si>
  <si>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</si>
  <si>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</si>
  <si>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</si>
  <si>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</si>
  <si>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</si>
  <si>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</si>
  <si>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</si>
  <si>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</si>
  <si>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</si>
  <si>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</si>
  <si>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</si>
  <si>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</si>
  <si>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</si>
  <si>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</si>
  <si>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</si>
  <si>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</si>
  <si>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</si>
  <si>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</si>
  <si>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</si>
  <si>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</si>
  <si>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</si>
  <si>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</si>
  <si>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</si>
  <si>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</si>
  <si>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</si>
  <si>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</si>
  <si>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</si>
  <si>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</si>
  <si>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</si>
  <si>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</si>
  <si>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</si>
  <si>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</si>
  <si>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</si>
  <si>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</si>
  <si>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</si>
  <si>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</si>
  <si>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</si>
  <si>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</si>
  <si>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</si>
  <si>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</si>
  <si>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</si>
  <si>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</si>
  <si>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</si>
  <si>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</si>
  <si>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</si>
  <si>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</si>
  <si>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</si>
  <si>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</si>
  <si>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</si>
  <si>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</si>
  <si>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</si>
  <si>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</si>
  <si>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</si>
  <si>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</si>
  <si>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</si>
  <si>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</si>
  <si>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</si>
  <si>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</si>
  <si>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</si>
  <si>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</si>
  <si>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</si>
  <si>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</si>
  <si>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</si>
  <si>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</si>
  <si>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</si>
  <si>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</si>
  <si>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</si>
  <si>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</si>
  <si>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</si>
  <si>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</si>
  <si>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</si>
  <si>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</si>
  <si>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</si>
  <si>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</si>
  <si>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</si>
  <si>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</si>
  <si>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</si>
  <si>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</si>
  <si>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</si>
  <si>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</si>
  <si>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</si>
  <si>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</si>
  <si>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</si>
  <si>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</si>
  <si>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</si>
  <si>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</si>
  <si>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</si>
  <si>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</si>
  <si>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</si>
  <si>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</si>
  <si>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</si>
  <si>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</si>
  <si>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</si>
  <si>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</si>
  <si>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</si>
  <si>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</si>
  <si>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</si>
  <si>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</si>
  <si>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</si>
  <si>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</si>
  <si>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</si>
  <si>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</si>
  <si>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</si>
  <si>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</si>
  <si>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</si>
  <si>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</si>
  <si>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</si>
  <si>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</si>
  <si>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</si>
  <si>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</si>
  <si>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</si>
  <si>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</si>
  <si>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</si>
  <si>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</si>
  <si>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</si>
  <si>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</si>
  <si>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</si>
  <si>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</si>
  <si>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</si>
  <si>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</si>
  <si>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</si>
  <si>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</si>
  <si>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</si>
  <si>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</si>
  <si>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</si>
  <si>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</si>
  <si>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</si>
  <si>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</si>
  <si>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</si>
  <si>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</si>
  <si>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</si>
  <si>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</si>
  <si>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</si>
  <si>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</si>
  <si>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</si>
  <si>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</si>
  <si>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</si>
  <si>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</si>
  <si>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</si>
  <si>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</si>
  <si>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</si>
  <si>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</si>
  <si>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</si>
  <si>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</si>
  <si>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</si>
  <si>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</si>
  <si>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</si>
  <si>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</si>
  <si>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</si>
  <si>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</si>
  <si>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</si>
  <si>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</si>
  <si>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</si>
  <si>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</si>
  <si>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</si>
  <si>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</si>
  <si>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</si>
  <si>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</si>
  <si>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</si>
  <si>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</si>
  <si>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</si>
  <si>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</si>
  <si>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</si>
  <si>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</si>
  <si>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</si>
  <si>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</si>
  <si>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</si>
  <si>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</si>
  <si>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</si>
  <si>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</si>
  <si>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</si>
  <si>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</si>
  <si>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</si>
  <si>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</si>
  <si>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</si>
  <si>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</si>
  <si>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</si>
  <si>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</si>
  <si>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</si>
  <si>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</si>
  <si>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</si>
  <si>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</si>
  <si>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</si>
  <si>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</si>
  <si>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</si>
  <si>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</si>
  <si>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</si>
  <si>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</si>
  <si>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</si>
  <si>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</si>
  <si>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</si>
  <si>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</si>
  <si>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</si>
  <si>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</si>
  <si>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</si>
  <si>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</si>
  <si>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</si>
  <si>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</si>
  <si>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</si>
  <si>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</si>
  <si>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</si>
  <si>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</si>
  <si>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</si>
  <si>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</si>
  <si>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</si>
  <si>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</si>
  <si>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</si>
  <si>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</si>
  <si>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</si>
  <si>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</si>
  <si>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</si>
  <si>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</si>
  <si>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</si>
  <si>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</si>
  <si>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</si>
  <si>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</si>
  <si>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</si>
  <si>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</si>
  <si>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</si>
  <si>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</si>
  <si>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</si>
  <si>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</si>
  <si>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</si>
  <si>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</si>
  <si>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</si>
  <si>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</si>
  <si>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</si>
  <si>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</si>
  <si>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</si>
  <si>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</si>
  <si>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</si>
  <si>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</si>
  <si>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</si>
  <si>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</si>
  <si>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</si>
  <si>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</si>
  <si>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</si>
  <si>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</si>
  <si>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</si>
  <si>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</si>
  <si>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</si>
  <si>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</si>
  <si>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</si>
  <si>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</si>
  <si>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</si>
  <si>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</si>
  <si>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</si>
  <si>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</si>
  <si>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</si>
  <si>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</si>
  <si>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</si>
  <si>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</si>
  <si>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</si>
  <si>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</si>
  <si>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</si>
  <si>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</si>
  <si>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</si>
  <si>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</si>
  <si>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</si>
  <si>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</si>
  <si>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</si>
  <si>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</si>
  <si>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</si>
  <si>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</si>
  <si>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</si>
  <si>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</si>
  <si>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</si>
  <si>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</si>
  <si>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</si>
  <si>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</si>
  <si>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</si>
  <si>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</si>
  <si>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</si>
  <si>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</si>
  <si>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</si>
  <si>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</si>
  <si>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</si>
  <si>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</si>
  <si>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</si>
  <si>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</si>
  <si>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</si>
  <si>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</si>
  <si>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</si>
  <si>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</si>
  <si>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</si>
  <si>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</si>
  <si>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</si>
  <si>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</si>
  <si>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</si>
  <si>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</si>
  <si>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</si>
  <si>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</si>
  <si>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</si>
  <si>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</si>
  <si>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</si>
  <si>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</si>
  <si>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</si>
  <si>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</si>
  <si>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</si>
  <si>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</si>
  <si>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</si>
  <si>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</si>
  <si>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</si>
  <si>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</si>
  <si>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</si>
  <si>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</si>
  <si>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</si>
  <si>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</si>
  <si>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</si>
  <si>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</si>
  <si>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</si>
  <si>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</si>
  <si>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</si>
  <si>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</si>
  <si>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</si>
  <si>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</si>
  <si>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</si>
  <si>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</si>
  <si>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</si>
  <si>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</si>
  <si>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</si>
  <si>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</si>
  <si>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</si>
  <si>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</si>
  <si>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</si>
  <si>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</si>
  <si>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</si>
  <si>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</si>
  <si>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</si>
  <si>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</si>
  <si>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</si>
  <si>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</si>
  <si>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</si>
  <si>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</si>
  <si>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</si>
  <si>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</si>
  <si>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</si>
  <si>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</si>
  <si>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</si>
  <si>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</si>
  <si>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</si>
  <si>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</si>
  <si>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</si>
  <si>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</si>
  <si>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</si>
  <si>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</si>
  <si>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</si>
  <si>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</si>
  <si>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</si>
  <si>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</si>
  <si>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</si>
  <si>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</si>
  <si>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</si>
  <si>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</si>
  <si>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</si>
  <si>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</si>
  <si>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</si>
  <si>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</si>
  <si>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</si>
  <si>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</si>
  <si>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</si>
  <si>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</si>
  <si>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</si>
  <si>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</si>
  <si>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</si>
  <si>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</si>
  <si>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</si>
  <si>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</si>
  <si>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</si>
  <si>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</si>
  <si>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</si>
  <si>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</si>
  <si>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</si>
  <si>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</si>
  <si>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</si>
  <si>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</si>
  <si>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</si>
  <si>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</si>
  <si>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</si>
  <si>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</si>
  <si>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</si>
  <si>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</si>
  <si>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</si>
  <si>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</si>
  <si>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</si>
  <si>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</si>
  <si>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</si>
  <si>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</si>
  <si>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</si>
  <si>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</si>
  <si>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</si>
  <si>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</si>
  <si>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</si>
  <si>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</si>
  <si>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</si>
  <si>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</si>
  <si>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</si>
  <si>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</si>
  <si>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</si>
  <si>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</si>
  <si>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</si>
  <si>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</si>
  <si>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</si>
  <si>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</si>
  <si>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</si>
  <si>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</si>
  <si>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</si>
  <si>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</si>
  <si>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</si>
  <si>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</si>
  <si>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</si>
  <si>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</si>
  <si>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</si>
  <si>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</si>
  <si>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</si>
  <si>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</si>
  <si>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</si>
  <si>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</si>
  <si>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</si>
  <si>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</si>
  <si>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</si>
  <si>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</si>
  <si>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</si>
  <si>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</si>
  <si>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</si>
  <si>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</si>
  <si>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</si>
  <si>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</si>
  <si>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</si>
  <si>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</si>
  <si>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</si>
  <si>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</si>
  <si>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</si>
  <si>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</si>
  <si>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</si>
  <si>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</si>
  <si>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</si>
  <si>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</si>
  <si>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</si>
  <si>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</si>
  <si>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</si>
  <si>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</si>
  <si>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</si>
  <si>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</si>
  <si>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</si>
  <si>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</si>
  <si>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</si>
  <si>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</si>
  <si>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</si>
  <si>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</si>
  <si>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</si>
  <si>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</si>
  <si>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</si>
  <si>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</si>
  <si>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</si>
  <si>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</si>
  <si>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</si>
  <si>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</si>
  <si>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</si>
  <si>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</si>
  <si>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</si>
  <si>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</si>
  <si>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</si>
  <si>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</si>
  <si>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</si>
  <si>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</si>
  <si>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</si>
  <si>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</si>
  <si>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</si>
  <si>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</si>
  <si>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</si>
  <si>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</si>
  <si>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</si>
  <si>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</si>
  <si>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</si>
  <si>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</si>
  <si>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</si>
  <si>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</si>
  <si>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</si>
  <si>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</si>
  <si>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</si>
  <si>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</si>
  <si>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</si>
  <si>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</si>
  <si>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</si>
  <si>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</si>
  <si>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</si>
  <si>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</si>
  <si>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</si>
  <si>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</si>
  <si>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</si>
  <si>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</si>
  <si>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</si>
  <si>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</si>
  <si>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</si>
  <si>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</si>
  <si>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</si>
  <si>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</si>
  <si>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</si>
  <si>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</si>
  <si>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</si>
  <si>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</si>
  <si>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</si>
  <si>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</si>
  <si>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</si>
  <si>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</si>
  <si>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</si>
  <si>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</si>
  <si>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</si>
  <si>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</si>
  <si>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</si>
  <si>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</si>
  <si>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</si>
  <si>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</si>
  <si>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</si>
  <si>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</si>
  <si>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</si>
  <si>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</si>
  <si>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</si>
  <si>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</si>
  <si>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</si>
  <si>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</si>
  <si>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</si>
  <si>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</si>
  <si>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</si>
  <si>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</si>
  <si>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</si>
  <si>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</si>
  <si>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</si>
  <si>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</si>
  <si>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</si>
  <si>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</si>
  <si>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</si>
  <si>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</si>
  <si>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</si>
  <si>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</si>
  <si>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</si>
  <si>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</si>
  <si>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</si>
  <si>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</si>
  <si>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</si>
  <si>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</si>
  <si>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</si>
  <si>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</si>
  <si>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</si>
  <si>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</si>
  <si>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</si>
  <si>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</si>
  <si>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</si>
  <si>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</si>
  <si>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</si>
  <si>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</si>
  <si>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</si>
  <si>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</si>
  <si>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</si>
  <si>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</si>
  <si>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</si>
  <si>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</si>
  <si>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</si>
  <si>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</si>
  <si>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</si>
  <si>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</si>
  <si>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</si>
  <si>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</si>
  <si>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</si>
  <si>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</si>
  <si>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</si>
  <si>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</si>
  <si>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</si>
  <si>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</si>
  <si>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</si>
  <si>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</si>
  <si>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</si>
  <si>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</si>
  <si>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</si>
  <si>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</si>
  <si>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</si>
  <si>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</si>
  <si>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</si>
  <si>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</si>
  <si>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</si>
  <si>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</si>
  <si>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</si>
  <si>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</si>
  <si>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</si>
  <si>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</si>
  <si>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</si>
  <si>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</si>
  <si>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</si>
  <si>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</si>
  <si>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</si>
  <si>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</si>
  <si>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</si>
  <si>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</si>
  <si>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</si>
  <si>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</si>
  <si>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</si>
  <si>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</si>
  <si>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</si>
  <si>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</si>
  <si>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</si>
  <si>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</si>
  <si>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</si>
  <si>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</si>
  <si>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</si>
  <si>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</si>
  <si>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</si>
  <si>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</si>
  <si>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</si>
  <si>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</si>
  <si>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</si>
  <si>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</si>
  <si>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</si>
  <si>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</si>
  <si>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</si>
  <si>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</si>
  <si>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</si>
  <si>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</si>
  <si>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</si>
  <si>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</si>
  <si>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</si>
  <si>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</si>
  <si>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</si>
  <si>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</si>
  <si>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</si>
  <si>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</si>
  <si>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</si>
  <si>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</si>
  <si>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</si>
  <si>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</si>
  <si>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</si>
  <si>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</si>
  <si>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</si>
  <si>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</si>
  <si>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</si>
  <si>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</si>
  <si>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</si>
  <si>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</si>
  <si>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</si>
  <si>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</si>
  <si>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</si>
  <si>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</si>
  <si>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</si>
  <si>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</si>
  <si>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</si>
  <si>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</si>
  <si>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</si>
  <si>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</si>
  <si>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</si>
  <si>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</si>
  <si>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</si>
  <si>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</si>
  <si>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</si>
  <si>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</si>
  <si>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</si>
  <si>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</si>
  <si>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</si>
  <si>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</si>
  <si>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</si>
  <si>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</si>
  <si>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</si>
  <si>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</si>
  <si>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</si>
  <si>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</si>
  <si>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</si>
  <si>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</si>
  <si>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</si>
  <si>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</si>
  <si>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</si>
  <si>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</si>
  <si>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</si>
  <si>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</si>
  <si>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</si>
  <si>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</si>
  <si>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CHESTERFIELD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</si>
</sst>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1" fillId="0" borderId="3" xfId="0" applyNumberFormat="1" applyFont="1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95</v>
      </c>
      <c r="C2" s="21">
        <v>95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394124.51+2000-89099.79</f>
        <v>307024.72000000003</v>
      </c>
      <c r="G9" s="18">
        <v>1752.52</v>
      </c>
      <c r="H9" s="18">
        <v>170.12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273481.39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76171.100000000006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61636.71</v>
      </c>
      <c r="G13" s="18">
        <v>2253.1799999999998</v>
      </c>
      <c r="H13" s="18">
        <v>77242.100000000006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555.66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444832.53000000009</v>
      </c>
      <c r="G19" s="41">
        <f>SUM(G9:G18)</f>
        <v>4561.3599999999997</v>
      </c>
      <c r="H19" s="41">
        <f>SUM(H9:H18)</f>
        <v>77412.22</v>
      </c>
      <c r="I19" s="41">
        <f>SUM(I9:I18)</f>
        <v>0</v>
      </c>
      <c r="J19" s="41">
        <f>SUM(J9:J18)</f>
        <v>273481.39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76171.100000000006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2754.39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50024.15</v>
      </c>
      <c r="G24" s="18"/>
      <c r="H24" s="18">
        <v>1071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17745.53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3744.33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70524.070000000007</v>
      </c>
      <c r="G32" s="41">
        <f>SUM(G22:G31)</f>
        <v>3744.33</v>
      </c>
      <c r="H32" s="41">
        <f>SUM(H22:H31)</f>
        <v>77242.100000000006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>
        <v>817.03</v>
      </c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>
        <v>170.12</v>
      </c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6107.71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273481.39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308200.75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374308.46</v>
      </c>
      <c r="G51" s="41">
        <f>SUM(G35:G50)</f>
        <v>817.03</v>
      </c>
      <c r="H51" s="41">
        <f>SUM(H35:H50)</f>
        <v>170.12</v>
      </c>
      <c r="I51" s="41">
        <f>SUM(I35:I50)</f>
        <v>0</v>
      </c>
      <c r="J51" s="41">
        <f>SUM(J35:J50)</f>
        <v>273481.39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444832.53</v>
      </c>
      <c r="G52" s="41">
        <f>G51+G32</f>
        <v>4561.3599999999997</v>
      </c>
      <c r="H52" s="41">
        <f>H51+H32</f>
        <v>77412.22</v>
      </c>
      <c r="I52" s="41">
        <f>I51+I32</f>
        <v>0</v>
      </c>
      <c r="J52" s="41">
        <f>J51+J32</f>
        <v>273481.39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5586973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5586973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711.25</v>
      </c>
      <c r="G96" s="18"/>
      <c r="H96" s="18"/>
      <c r="I96" s="18"/>
      <c r="J96" s="18">
        <f>239.77+550.17</f>
        <v>789.93999999999994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48413.76+9971.5+7149.8+4754.9</f>
        <v>70289.960000000006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175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-217.25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45675.23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68474.899999999994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12769+25000+2029.62</f>
        <v>39798.620000000003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154835</v>
      </c>
      <c r="G111" s="41">
        <f>SUM(G96:G110)</f>
        <v>70289.960000000006</v>
      </c>
      <c r="H111" s="41">
        <f>SUM(H96:H110)</f>
        <v>-217.25</v>
      </c>
      <c r="I111" s="41">
        <f>SUM(I96:I110)</f>
        <v>0</v>
      </c>
      <c r="J111" s="41">
        <f>SUM(J96:J110)</f>
        <v>789.93999999999994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5741808</v>
      </c>
      <c r="G112" s="41">
        <f>G60+G111</f>
        <v>70289.960000000006</v>
      </c>
      <c r="H112" s="41">
        <f>H60+H79+H94+H111</f>
        <v>-217.25</v>
      </c>
      <c r="I112" s="41">
        <f>I60+I111</f>
        <v>0</v>
      </c>
      <c r="J112" s="41">
        <f>J60+J111</f>
        <v>789.93999999999994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629746.61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1182991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1812737.6099999999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96902.05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1497.3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96902.05</v>
      </c>
      <c r="G136" s="41">
        <f>SUM(G123:G135)</f>
        <v>1497.3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1909639.66</v>
      </c>
      <c r="G140" s="41">
        <f>G121+SUM(G136:G137)</f>
        <v>1497.3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f>2037.04+7108.97</f>
        <v>9146.01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425.38+14923.37</f>
        <v>15348.75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150.7+1084.58+9891.12</f>
        <v>11126.400000000001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42414.1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4007.48+29.29+76999.16</f>
        <v>81035.930000000008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56095.08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56095.08</v>
      </c>
      <c r="G162" s="41">
        <f>SUM(G150:G161)</f>
        <v>42414.1</v>
      </c>
      <c r="H162" s="41">
        <f>SUM(H150:H161)</f>
        <v>116657.09000000001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56095.08</v>
      </c>
      <c r="G169" s="41">
        <f>G147+G162+SUM(G163:G168)</f>
        <v>42414.1</v>
      </c>
      <c r="H169" s="41">
        <f>H147+H162+SUM(H163:H168)</f>
        <v>116657.09000000001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85000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85000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85000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7707542.7400000002</v>
      </c>
      <c r="G193" s="47">
        <f>G112+G140+G169+G192</f>
        <v>114201.36000000002</v>
      </c>
      <c r="H193" s="47">
        <f>H112+H140+H169+H192</f>
        <v>116439.84000000001</v>
      </c>
      <c r="I193" s="47">
        <f>I112+I140+I169+I192</f>
        <v>0</v>
      </c>
      <c r="J193" s="47">
        <f>J112+J140+J192</f>
        <v>85789.94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1418712.07</v>
      </c>
      <c r="G197" s="18">
        <v>583090.69999999995</v>
      </c>
      <c r="H197" s="18">
        <v>1192</v>
      </c>
      <c r="I197" s="18">
        <v>48889.04</v>
      </c>
      <c r="J197" s="18">
        <v>6648.25</v>
      </c>
      <c r="K197" s="18">
        <v>2429.0100000000002</v>
      </c>
      <c r="L197" s="19">
        <f>SUM(F197:K197)</f>
        <v>2060961.07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491681.89+4620</f>
        <v>496301.89</v>
      </c>
      <c r="G198" s="18">
        <f>267384.35+379.25</f>
        <v>267763.59999999998</v>
      </c>
      <c r="H198" s="18">
        <v>193208.98</v>
      </c>
      <c r="I198" s="18">
        <v>419.46</v>
      </c>
      <c r="J198" s="18">
        <v>369.99</v>
      </c>
      <c r="K198" s="18"/>
      <c r="L198" s="19">
        <f>SUM(F198:K198)</f>
        <v>958063.91999999993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15875.3+3325</f>
        <v>19200.3</v>
      </c>
      <c r="G200" s="18">
        <f>2304.66+454.17</f>
        <v>2758.83</v>
      </c>
      <c r="H200" s="18">
        <v>14075</v>
      </c>
      <c r="I200" s="18">
        <f>3125.09+95.82</f>
        <v>3220.9100000000003</v>
      </c>
      <c r="J200" s="18">
        <v>750</v>
      </c>
      <c r="K200" s="18">
        <v>4598.24</v>
      </c>
      <c r="L200" s="19">
        <f>SUM(F200:K200)</f>
        <v>44603.28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61249.96+63967.42+41603.12+54759.9+67682.94</f>
        <v>289263.33999999997</v>
      </c>
      <c r="G202" s="18">
        <f>14098.18+31496.48+3415.62+18314.58+23667.46</f>
        <v>90992.320000000007</v>
      </c>
      <c r="H202" s="18">
        <f>6494.54+30537.33+14853.52+3066.85</f>
        <v>54952.24</v>
      </c>
      <c r="I202" s="18">
        <f>24.82+1324.06+439.2+51+154.17</f>
        <v>1993.25</v>
      </c>
      <c r="J202" s="18">
        <f>44.35+459.31+753.78+570.36+103.54</f>
        <v>1931.3400000000001</v>
      </c>
      <c r="K202" s="18"/>
      <c r="L202" s="19">
        <f t="shared" ref="L202:L208" si="0">SUM(F202:K202)</f>
        <v>439132.49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13602.29+46360</f>
        <v>59962.29</v>
      </c>
      <c r="G203" s="18">
        <f>7280.66+15915+27384.74</f>
        <v>50580.4</v>
      </c>
      <c r="H203" s="18">
        <f>10042.95+9186.17</f>
        <v>19229.120000000003</v>
      </c>
      <c r="I203" s="18">
        <f>1865.25+8033.21</f>
        <v>9898.4599999999991</v>
      </c>
      <c r="J203" s="18"/>
      <c r="K203" s="18">
        <v>268.99</v>
      </c>
      <c r="L203" s="19">
        <f t="shared" si="0"/>
        <v>139939.25999999998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5059.75+3277</f>
        <v>8336.75</v>
      </c>
      <c r="G204" s="18">
        <f>413.17+269.06</f>
        <v>682.23</v>
      </c>
      <c r="H204" s="18">
        <f>481.6+150+9750+43880.72+150+406395</f>
        <v>460807.32</v>
      </c>
      <c r="I204" s="18">
        <v>537.29999999999995</v>
      </c>
      <c r="J204" s="18"/>
      <c r="K204" s="18">
        <v>3707.99</v>
      </c>
      <c r="L204" s="19">
        <f t="shared" si="0"/>
        <v>474071.58999999997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164563.07999999999</v>
      </c>
      <c r="G205" s="18">
        <v>63025.85</v>
      </c>
      <c r="H205" s="18">
        <v>18989.3</v>
      </c>
      <c r="I205" s="18">
        <f>1469.17+963.67</f>
        <v>2432.84</v>
      </c>
      <c r="J205" s="18">
        <v>149.99</v>
      </c>
      <c r="K205" s="18">
        <v>765</v>
      </c>
      <c r="L205" s="19">
        <f t="shared" si="0"/>
        <v>249926.05999999997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132906.48000000001</v>
      </c>
      <c r="G207" s="18">
        <v>67725.600000000006</v>
      </c>
      <c r="H207" s="18">
        <f>163220.55+175120</f>
        <v>338340.55</v>
      </c>
      <c r="I207" s="18">
        <v>87011.97</v>
      </c>
      <c r="J207" s="18">
        <v>17135.3</v>
      </c>
      <c r="K207" s="18"/>
      <c r="L207" s="19">
        <f t="shared" si="0"/>
        <v>643119.9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210049.35+77218.33+6460.22</f>
        <v>293727.89999999997</v>
      </c>
      <c r="I208" s="18"/>
      <c r="J208" s="18"/>
      <c r="K208" s="18"/>
      <c r="L208" s="19">
        <f t="shared" si="0"/>
        <v>293727.89999999997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2000</v>
      </c>
      <c r="G209" s="18">
        <f>304.41+477.6</f>
        <v>782.01</v>
      </c>
      <c r="H209" s="18">
        <f>643+7295.6</f>
        <v>7938.6</v>
      </c>
      <c r="I209" s="18">
        <v>9466.2999999999993</v>
      </c>
      <c r="J209" s="18">
        <v>16994.400000000001</v>
      </c>
      <c r="K209" s="18"/>
      <c r="L209" s="19">
        <f>SUM(F209:K209)</f>
        <v>37181.31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2591246.2000000002</v>
      </c>
      <c r="G211" s="41">
        <f t="shared" si="1"/>
        <v>1127401.54</v>
      </c>
      <c r="H211" s="41">
        <f t="shared" si="1"/>
        <v>1402461.01</v>
      </c>
      <c r="I211" s="41">
        <f t="shared" si="1"/>
        <v>163869.53</v>
      </c>
      <c r="J211" s="41">
        <f t="shared" si="1"/>
        <v>43979.270000000004</v>
      </c>
      <c r="K211" s="41">
        <f t="shared" si="1"/>
        <v>11769.23</v>
      </c>
      <c r="L211" s="41">
        <f t="shared" si="1"/>
        <v>5340726.7799999993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1570376.73</v>
      </c>
      <c r="I233" s="18"/>
      <c r="J233" s="18"/>
      <c r="K233" s="18"/>
      <c r="L233" s="19">
        <f>SUM(F233:K233)</f>
        <v>1570376.73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736002.87</v>
      </c>
      <c r="I234" s="18"/>
      <c r="J234" s="18"/>
      <c r="K234" s="18"/>
      <c r="L234" s="19">
        <f>SUM(F234:K234)</f>
        <v>736002.87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69676+65097.5</f>
        <v>134773.5</v>
      </c>
      <c r="I244" s="18"/>
      <c r="J244" s="18"/>
      <c r="K244" s="18"/>
      <c r="L244" s="19">
        <f t="shared" si="4"/>
        <v>134773.5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2441153.1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2441153.1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2591246.2000000002</v>
      </c>
      <c r="G257" s="41">
        <f t="shared" si="8"/>
        <v>1127401.54</v>
      </c>
      <c r="H257" s="41">
        <f t="shared" si="8"/>
        <v>3843614.1100000003</v>
      </c>
      <c r="I257" s="41">
        <f t="shared" si="8"/>
        <v>163869.53</v>
      </c>
      <c r="J257" s="41">
        <f t="shared" si="8"/>
        <v>43979.270000000004</v>
      </c>
      <c r="K257" s="41">
        <f t="shared" si="8"/>
        <v>11769.23</v>
      </c>
      <c r="L257" s="41">
        <f t="shared" si="8"/>
        <v>7781879.879999999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85000</v>
      </c>
      <c r="L266" s="19">
        <f t="shared" si="9"/>
        <v>85000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85000</v>
      </c>
      <c r="L270" s="41">
        <f t="shared" si="9"/>
        <v>85000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2591246.2000000002</v>
      </c>
      <c r="G271" s="42">
        <f t="shared" si="11"/>
        <v>1127401.54</v>
      </c>
      <c r="H271" s="42">
        <f t="shared" si="11"/>
        <v>3843614.1100000003</v>
      </c>
      <c r="I271" s="42">
        <f t="shared" si="11"/>
        <v>163869.53</v>
      </c>
      <c r="J271" s="42">
        <f t="shared" si="11"/>
        <v>43979.270000000004</v>
      </c>
      <c r="K271" s="42">
        <f t="shared" si="11"/>
        <v>96769.23</v>
      </c>
      <c r="L271" s="42">
        <f t="shared" si="11"/>
        <v>7866879.879999999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11898.63</f>
        <v>11898.63</v>
      </c>
      <c r="G276" s="18">
        <f>1.14+18.62+910.26+66.61</f>
        <v>996.63</v>
      </c>
      <c r="H276" s="18"/>
      <c r="I276" s="18">
        <f>469.91+450.87+68.92+390.24+375.66+109</f>
        <v>1864.6000000000001</v>
      </c>
      <c r="J276" s="18">
        <f>149.05+1176.89+7040.05</f>
        <v>8365.99</v>
      </c>
      <c r="K276" s="18"/>
      <c r="L276" s="19">
        <f>SUM(F276:K276)</f>
        <v>23125.85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>
        <f>130+52.62</f>
        <v>182.62</v>
      </c>
      <c r="J277" s="18">
        <f>510+3685</f>
        <v>4195</v>
      </c>
      <c r="K277" s="18"/>
      <c r="L277" s="19">
        <f>SUM(F277:K277)</f>
        <v>4377.62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v>61.51</v>
      </c>
      <c r="J281" s="18"/>
      <c r="K281" s="18">
        <v>359.25</v>
      </c>
      <c r="L281" s="19">
        <f t="shared" ref="L281:L287" si="12">SUM(F281:K281)</f>
        <v>420.76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f>9185.45+72414.66</f>
        <v>81600.11</v>
      </c>
      <c r="I282" s="18"/>
      <c r="J282" s="18"/>
      <c r="K282" s="18"/>
      <c r="L282" s="19">
        <f t="shared" si="12"/>
        <v>81600.11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1071</v>
      </c>
      <c r="I283" s="18"/>
      <c r="J283" s="18"/>
      <c r="K283" s="18"/>
      <c r="L283" s="19">
        <f t="shared" si="12"/>
        <v>1071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6114.37</v>
      </c>
      <c r="L285" s="19">
        <f t="shared" si="12"/>
        <v>6114.37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11898.63</v>
      </c>
      <c r="G290" s="42">
        <f t="shared" si="13"/>
        <v>996.63</v>
      </c>
      <c r="H290" s="42">
        <f t="shared" si="13"/>
        <v>82671.11</v>
      </c>
      <c r="I290" s="42">
        <f t="shared" si="13"/>
        <v>2108.7300000000005</v>
      </c>
      <c r="J290" s="42">
        <f t="shared" si="13"/>
        <v>12560.99</v>
      </c>
      <c r="K290" s="42">
        <f t="shared" si="13"/>
        <v>6473.62</v>
      </c>
      <c r="L290" s="41">
        <f t="shared" si="13"/>
        <v>116709.70999999999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11898.63</v>
      </c>
      <c r="G338" s="41">
        <f t="shared" si="20"/>
        <v>996.63</v>
      </c>
      <c r="H338" s="41">
        <f t="shared" si="20"/>
        <v>82671.11</v>
      </c>
      <c r="I338" s="41">
        <f t="shared" si="20"/>
        <v>2108.7300000000005</v>
      </c>
      <c r="J338" s="41">
        <f t="shared" si="20"/>
        <v>12560.99</v>
      </c>
      <c r="K338" s="41">
        <f t="shared" si="20"/>
        <v>6473.62</v>
      </c>
      <c r="L338" s="41">
        <f t="shared" si="20"/>
        <v>116709.70999999999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11898.63</v>
      </c>
      <c r="G352" s="41">
        <f>G338</f>
        <v>996.63</v>
      </c>
      <c r="H352" s="41">
        <f>H338</f>
        <v>82671.11</v>
      </c>
      <c r="I352" s="41">
        <f>I338</f>
        <v>2108.7300000000005</v>
      </c>
      <c r="J352" s="41">
        <f>J338</f>
        <v>12560.99</v>
      </c>
      <c r="K352" s="47">
        <f>K338+K351</f>
        <v>6473.62</v>
      </c>
      <c r="L352" s="41">
        <f>L338+L351</f>
        <v>116709.70999999999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40640.82</v>
      </c>
      <c r="G358" s="18">
        <f>9807.41+582.85+45.8+49.08+2938.82+1442.31</f>
        <v>14866.269999999999</v>
      </c>
      <c r="H358" s="18">
        <f>6000+3987.88</f>
        <v>9987.880000000001</v>
      </c>
      <c r="I358" s="18">
        <f>3774.68+47122.51+611.25</f>
        <v>51508.44</v>
      </c>
      <c r="J358" s="18"/>
      <c r="K358" s="18">
        <v>325</v>
      </c>
      <c r="L358" s="13">
        <f>SUM(F358:K358)</f>
        <v>117328.41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40640.82</v>
      </c>
      <c r="G362" s="47">
        <f t="shared" si="22"/>
        <v>14866.269999999999</v>
      </c>
      <c r="H362" s="47">
        <f t="shared" si="22"/>
        <v>9987.880000000001</v>
      </c>
      <c r="I362" s="47">
        <f t="shared" si="22"/>
        <v>51508.44</v>
      </c>
      <c r="J362" s="47">
        <f t="shared" si="22"/>
        <v>0</v>
      </c>
      <c r="K362" s="47">
        <f t="shared" si="22"/>
        <v>325</v>
      </c>
      <c r="L362" s="47">
        <f t="shared" si="22"/>
        <v>117328.41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47122.51+611.25</f>
        <v>47733.760000000002</v>
      </c>
      <c r="G367" s="18"/>
      <c r="H367" s="18"/>
      <c r="I367" s="56">
        <f>SUM(F367:H367)</f>
        <v>47733.760000000002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3774.68</v>
      </c>
      <c r="G368" s="63"/>
      <c r="H368" s="63"/>
      <c r="I368" s="56">
        <f>SUM(F368:H368)</f>
        <v>3774.68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51508.44</v>
      </c>
      <c r="G369" s="47">
        <f>SUM(G367:G368)</f>
        <v>0</v>
      </c>
      <c r="H369" s="47">
        <f>SUM(H367:H368)</f>
        <v>0</v>
      </c>
      <c r="I369" s="47">
        <f>SUM(I367:I368)</f>
        <v>51508.44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75000</v>
      </c>
      <c r="H389" s="18">
        <v>239.77</v>
      </c>
      <c r="I389" s="18"/>
      <c r="J389" s="24" t="s">
        <v>289</v>
      </c>
      <c r="K389" s="24" t="s">
        <v>289</v>
      </c>
      <c r="L389" s="56">
        <f t="shared" si="25"/>
        <v>75239.77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75000</v>
      </c>
      <c r="H393" s="139">
        <f>SUM(H387:H392)</f>
        <v>239.77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75239.77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10000</v>
      </c>
      <c r="H398" s="18">
        <v>550.16999999999996</v>
      </c>
      <c r="I398" s="18"/>
      <c r="J398" s="24" t="s">
        <v>289</v>
      </c>
      <c r="K398" s="24" t="s">
        <v>289</v>
      </c>
      <c r="L398" s="56">
        <f t="shared" si="26"/>
        <v>10550.17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</v>
      </c>
      <c r="H401" s="47">
        <f>SUM(H395:H400)</f>
        <v>550.16999999999996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10550.17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85000</v>
      </c>
      <c r="H408" s="47">
        <f>H393+H401+H407</f>
        <v>789.93999999999994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85789.94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110618.03</v>
      </c>
      <c r="G440" s="18">
        <v>162863.35999999999</v>
      </c>
      <c r="H440" s="18"/>
      <c r="I440" s="56">
        <f t="shared" si="33"/>
        <v>273481.39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110618.03</v>
      </c>
      <c r="G446" s="13">
        <f>SUM(G439:G445)</f>
        <v>162863.35999999999</v>
      </c>
      <c r="H446" s="13">
        <f>SUM(H439:H445)</f>
        <v>0</v>
      </c>
      <c r="I446" s="13">
        <f>SUM(I439:I445)</f>
        <v>273481.39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110618.03</v>
      </c>
      <c r="G459" s="18">
        <v>162863.35999999999</v>
      </c>
      <c r="H459" s="18"/>
      <c r="I459" s="56">
        <f t="shared" si="34"/>
        <v>273481.39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110618.03</v>
      </c>
      <c r="G460" s="83">
        <f>SUM(G454:G459)</f>
        <v>162863.35999999999</v>
      </c>
      <c r="H460" s="83">
        <f>SUM(H454:H459)</f>
        <v>0</v>
      </c>
      <c r="I460" s="83">
        <f>SUM(I454:I459)</f>
        <v>273481.39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110618.03</v>
      </c>
      <c r="G461" s="42">
        <f>G452+G460</f>
        <v>162863.35999999999</v>
      </c>
      <c r="H461" s="42">
        <f>H452+H460</f>
        <v>0</v>
      </c>
      <c r="I461" s="42">
        <f>I452+I460</f>
        <v>273481.39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533645.6</v>
      </c>
      <c r="G465" s="18">
        <v>3944.08</v>
      </c>
      <c r="H465" s="18">
        <v>439.99</v>
      </c>
      <c r="I465" s="18">
        <v>0</v>
      </c>
      <c r="J465" s="18">
        <v>187691.45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thickBot="1" x14ac:dyDescent="0.25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thickTop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275">
        <v>7707542.7400000002</v>
      </c>
      <c r="G468" s="275">
        <v>114201.36000000002</v>
      </c>
      <c r="H468" s="275">
        <v>116439.84000000001</v>
      </c>
      <c r="I468" s="275">
        <v>0</v>
      </c>
      <c r="J468" s="275">
        <v>85789.94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7707542.7400000002</v>
      </c>
      <c r="G470" s="53">
        <f>SUM(G468:G469)</f>
        <v>114201.36000000002</v>
      </c>
      <c r="H470" s="53">
        <f>SUM(H468:H469)</f>
        <v>116439.84000000001</v>
      </c>
      <c r="I470" s="53">
        <f>SUM(I468:I469)</f>
        <v>0</v>
      </c>
      <c r="J470" s="53">
        <f>SUM(J468:J469)</f>
        <v>85789.94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7866879.879999999</v>
      </c>
      <c r="G472" s="18">
        <v>117328.41</v>
      </c>
      <c r="H472" s="18">
        <v>116709.70999999999</v>
      </c>
      <c r="I472" s="18">
        <v>0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7866879.879999999</v>
      </c>
      <c r="G474" s="53">
        <f>SUM(G472:G473)</f>
        <v>117328.41</v>
      </c>
      <c r="H474" s="53">
        <f>SUM(H472:H473)</f>
        <v>116709.70999999999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374308.46000000089</v>
      </c>
      <c r="G476" s="53">
        <f>(G465+G470)- G474</f>
        <v>817.03000000001339</v>
      </c>
      <c r="H476" s="53">
        <f>(H465+H470)- H474</f>
        <v>170.12000000002445</v>
      </c>
      <c r="I476" s="53">
        <f>(I465+I470)- I474</f>
        <v>0</v>
      </c>
      <c r="J476" s="53">
        <f>(J465+J470)- J474</f>
        <v>273481.39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117073.17+374608.72</f>
        <v>491681.88999999996</v>
      </c>
      <c r="G521" s="18">
        <f>198982.74+11266.13+1252.34+1605.31+34372.14+17152.5+2753.19</f>
        <v>267384.34999999998</v>
      </c>
      <c r="H521" s="18">
        <f>5040.96+179820.52+8347.5</f>
        <v>193208.97999999998</v>
      </c>
      <c r="I521" s="18">
        <f>277.73+141.73+130</f>
        <v>549.46</v>
      </c>
      <c r="J521" s="18">
        <f>369.99+510+3685+52.62</f>
        <v>4617.6099999999997</v>
      </c>
      <c r="K521" s="18"/>
      <c r="L521" s="88">
        <f>SUM(F521:K521)</f>
        <v>957442.28999999992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736002.87</v>
      </c>
      <c r="I523" s="18"/>
      <c r="J523" s="18"/>
      <c r="K523" s="18"/>
      <c r="L523" s="88">
        <f>SUM(F523:K523)</f>
        <v>736002.87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491681.88999999996</v>
      </c>
      <c r="G524" s="108">
        <f t="shared" ref="G524:L524" si="36">SUM(G521:G523)</f>
        <v>267384.34999999998</v>
      </c>
      <c r="H524" s="108">
        <f t="shared" si="36"/>
        <v>929211.85</v>
      </c>
      <c r="I524" s="108">
        <f t="shared" si="36"/>
        <v>549.46</v>
      </c>
      <c r="J524" s="108">
        <f t="shared" si="36"/>
        <v>4617.6099999999997</v>
      </c>
      <c r="K524" s="108">
        <f t="shared" si="36"/>
        <v>0</v>
      </c>
      <c r="L524" s="89">
        <f t="shared" si="36"/>
        <v>1693445.16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41603.12+54759.9+67682.94</f>
        <v>164045.96000000002</v>
      </c>
      <c r="G526" s="18">
        <f>3182.66+232.96+4400+575+68.4+191.62+4192.24+8580.78+306.54+6757+497+68.4+236.86+5123.2+10605.92+379.08</f>
        <v>45397.66</v>
      </c>
      <c r="H526" s="18">
        <f>3469.54+14565.18+288.34+3066.85+72414.66+9186.17</f>
        <v>102990.74</v>
      </c>
      <c r="I526" s="18">
        <f>365.14+74.06+51+154.17</f>
        <v>644.37</v>
      </c>
      <c r="J526" s="18">
        <f>753.78+570.36+103.54</f>
        <v>1427.6799999999998</v>
      </c>
      <c r="K526" s="18">
        <v>4296.2700000000004</v>
      </c>
      <c r="L526" s="88">
        <f>SUM(F526:K526)</f>
        <v>318802.68000000005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164045.96000000002</v>
      </c>
      <c r="G529" s="89">
        <f t="shared" ref="G529:L529" si="37">SUM(G526:G528)</f>
        <v>45397.66</v>
      </c>
      <c r="H529" s="89">
        <f t="shared" si="37"/>
        <v>102990.74</v>
      </c>
      <c r="I529" s="89">
        <f t="shared" si="37"/>
        <v>644.37</v>
      </c>
      <c r="J529" s="89">
        <f t="shared" si="37"/>
        <v>1427.6799999999998</v>
      </c>
      <c r="K529" s="89">
        <f t="shared" si="37"/>
        <v>4296.2700000000004</v>
      </c>
      <c r="L529" s="89">
        <f t="shared" si="37"/>
        <v>318802.68000000005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38361</v>
      </c>
      <c r="I531" s="18"/>
      <c r="J531" s="18"/>
      <c r="K531" s="18"/>
      <c r="L531" s="88">
        <f>SUM(F531:K531)</f>
        <v>38361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38361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38361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77218.33</v>
      </c>
      <c r="I541" s="18"/>
      <c r="J541" s="18"/>
      <c r="K541" s="18"/>
      <c r="L541" s="88">
        <f>SUM(F541:K541)</f>
        <v>77218.33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65097.5</v>
      </c>
      <c r="I543" s="18"/>
      <c r="J543" s="18"/>
      <c r="K543" s="18"/>
      <c r="L543" s="88">
        <f>SUM(F543:K543)</f>
        <v>65097.5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142315.83000000002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142315.83000000002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655727.85</v>
      </c>
      <c r="G545" s="89">
        <f t="shared" ref="G545:L545" si="41">G524+G529+G534+G539+G544</f>
        <v>312782.01</v>
      </c>
      <c r="H545" s="89">
        <f t="shared" si="41"/>
        <v>1212879.42</v>
      </c>
      <c r="I545" s="89">
        <f t="shared" si="41"/>
        <v>1193.83</v>
      </c>
      <c r="J545" s="89">
        <f t="shared" si="41"/>
        <v>6045.2899999999991</v>
      </c>
      <c r="K545" s="89">
        <f t="shared" si="41"/>
        <v>4296.2700000000004</v>
      </c>
      <c r="L545" s="89">
        <f t="shared" si="41"/>
        <v>2192924.67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957442.28999999992</v>
      </c>
      <c r="G549" s="87">
        <f>L526</f>
        <v>318802.68000000005</v>
      </c>
      <c r="H549" s="87">
        <f>L531</f>
        <v>38361</v>
      </c>
      <c r="I549" s="87">
        <f>L536</f>
        <v>0</v>
      </c>
      <c r="J549" s="87">
        <f>L541</f>
        <v>77218.33</v>
      </c>
      <c r="K549" s="87">
        <f>SUM(F549:J549)</f>
        <v>1391824.3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736002.87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65097.5</v>
      </c>
      <c r="K551" s="87">
        <f>SUM(F551:J551)</f>
        <v>801100.37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1693445.16</v>
      </c>
      <c r="G552" s="89">
        <f t="shared" si="42"/>
        <v>318802.68000000005</v>
      </c>
      <c r="H552" s="89">
        <f t="shared" si="42"/>
        <v>38361</v>
      </c>
      <c r="I552" s="89">
        <f t="shared" si="42"/>
        <v>0</v>
      </c>
      <c r="J552" s="89">
        <f t="shared" si="42"/>
        <v>142315.83000000002</v>
      </c>
      <c r="K552" s="89">
        <f t="shared" si="42"/>
        <v>2192924.67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1570376.73</v>
      </c>
      <c r="I575" s="87">
        <f>SUM(F575:H575)</f>
        <v>1570376.73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8347.5</v>
      </c>
      <c r="G579" s="18"/>
      <c r="H579" s="18">
        <v>512728.68</v>
      </c>
      <c r="I579" s="87">
        <f t="shared" si="47"/>
        <v>521076.18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179820.52</v>
      </c>
      <c r="G582" s="18"/>
      <c r="H582" s="18">
        <v>223274.19</v>
      </c>
      <c r="I582" s="87">
        <f t="shared" si="47"/>
        <v>403094.70999999996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210049.35</v>
      </c>
      <c r="I591" s="18"/>
      <c r="J591" s="18">
        <v>69676</v>
      </c>
      <c r="K591" s="104">
        <f t="shared" ref="K591:K597" si="48">SUM(H591:J591)</f>
        <v>279725.34999999998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77218.33</v>
      </c>
      <c r="I592" s="18"/>
      <c r="J592" s="18">
        <v>65097.5</v>
      </c>
      <c r="K592" s="104">
        <f t="shared" si="48"/>
        <v>142315.83000000002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6460.22</v>
      </c>
      <c r="I594" s="18"/>
      <c r="J594" s="18"/>
      <c r="K594" s="104">
        <f t="shared" si="48"/>
        <v>6460.22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293727.89999999997</v>
      </c>
      <c r="I598" s="108">
        <f>SUM(I591:I597)</f>
        <v>0</v>
      </c>
      <c r="J598" s="108">
        <f>SUM(J591:J597)</f>
        <v>134773.5</v>
      </c>
      <c r="K598" s="108">
        <f>SUM(K591:K597)</f>
        <v>428501.39999999997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56540.26</v>
      </c>
      <c r="I604" s="18"/>
      <c r="J604" s="18"/>
      <c r="K604" s="104">
        <f>SUM(H604:J604)</f>
        <v>56540.26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56540.26</v>
      </c>
      <c r="I605" s="108">
        <f>SUM(I602:I604)</f>
        <v>0</v>
      </c>
      <c r="J605" s="108">
        <f>SUM(J602:J604)</f>
        <v>0</v>
      </c>
      <c r="K605" s="108">
        <f>SUM(K602:K604)</f>
        <v>56540.26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3325</v>
      </c>
      <c r="G611" s="18">
        <f>254.36+182.55+17.26</f>
        <v>454.17</v>
      </c>
      <c r="H611" s="18"/>
      <c r="I611" s="18">
        <v>95.82</v>
      </c>
      <c r="J611" s="18"/>
      <c r="K611" s="18"/>
      <c r="L611" s="88">
        <f>SUM(F611:K611)</f>
        <v>3874.9900000000002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3325</v>
      </c>
      <c r="G614" s="108">
        <f t="shared" si="49"/>
        <v>454.17</v>
      </c>
      <c r="H614" s="108">
        <f t="shared" si="49"/>
        <v>0</v>
      </c>
      <c r="I614" s="108">
        <f t="shared" si="49"/>
        <v>95.82</v>
      </c>
      <c r="J614" s="108">
        <f t="shared" si="49"/>
        <v>0</v>
      </c>
      <c r="K614" s="108">
        <f t="shared" si="49"/>
        <v>0</v>
      </c>
      <c r="L614" s="89">
        <f t="shared" si="49"/>
        <v>3874.9900000000002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444832.53000000009</v>
      </c>
      <c r="H617" s="109">
        <f>SUM(F52)</f>
        <v>444832.53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4561.3599999999997</v>
      </c>
      <c r="H618" s="109">
        <f>SUM(G52)</f>
        <v>4561.3599999999997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77412.22</v>
      </c>
      <c r="H619" s="109">
        <f>SUM(H52)</f>
        <v>77412.22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273481.39</v>
      </c>
      <c r="H621" s="109">
        <f>SUM(J52)</f>
        <v>273481.39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374308.46</v>
      </c>
      <c r="H622" s="109">
        <f>F476</f>
        <v>374308.46000000089</v>
      </c>
      <c r="I622" s="121" t="s">
        <v>101</v>
      </c>
      <c r="J622" s="109">
        <f t="shared" ref="J622:J655" si="50">G622-H622</f>
        <v>-8.7311491370201111E-10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817.03</v>
      </c>
      <c r="H623" s="109">
        <f>G476</f>
        <v>817.03000000001339</v>
      </c>
      <c r="I623" s="121" t="s">
        <v>102</v>
      </c>
      <c r="J623" s="109">
        <f t="shared" si="50"/>
        <v>-1.3415046851150692E-11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170.12</v>
      </c>
      <c r="H624" s="109">
        <f>H476</f>
        <v>170.12000000002445</v>
      </c>
      <c r="I624" s="121" t="s">
        <v>103</v>
      </c>
      <c r="J624" s="109">
        <f t="shared" si="50"/>
        <v>-2.4442670110147446E-11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273481.39</v>
      </c>
      <c r="H626" s="109">
        <f>J476</f>
        <v>273481.39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7707542.7400000002</v>
      </c>
      <c r="H627" s="104">
        <f>SUM(F468)</f>
        <v>7707542.7400000002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114201.36000000002</v>
      </c>
      <c r="H628" s="104">
        <f>SUM(G468)</f>
        <v>114201.36000000002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116439.84000000001</v>
      </c>
      <c r="H629" s="104">
        <f>SUM(H468)</f>
        <v>116439.84000000001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85789.94</v>
      </c>
      <c r="H631" s="104">
        <f>SUM(J468)</f>
        <v>85789.94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7866879.879999999</v>
      </c>
      <c r="H632" s="104">
        <f>SUM(F472)</f>
        <v>7866879.879999999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116709.70999999999</v>
      </c>
      <c r="H633" s="104">
        <f>SUM(H472)</f>
        <v>116709.70999999999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51508.44</v>
      </c>
      <c r="H634" s="104">
        <f>I369</f>
        <v>51508.44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117328.41</v>
      </c>
      <c r="H635" s="104">
        <f>SUM(G472)</f>
        <v>117328.41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85789.94</v>
      </c>
      <c r="H637" s="164">
        <f>SUM(J468)</f>
        <v>85789.94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110618.03</v>
      </c>
      <c r="H639" s="104">
        <f>SUM(F461)</f>
        <v>110618.03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162863.35999999999</v>
      </c>
      <c r="H640" s="104">
        <f>SUM(G461)</f>
        <v>162863.35999999999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273481.39</v>
      </c>
      <c r="H642" s="104">
        <f>SUM(I461)</f>
        <v>273481.39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789.93999999999994</v>
      </c>
      <c r="H644" s="104">
        <f>H408</f>
        <v>789.93999999999994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85000</v>
      </c>
      <c r="H645" s="104">
        <f>G408</f>
        <v>85000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85789.94</v>
      </c>
      <c r="H646" s="104">
        <f>L408</f>
        <v>85789.94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428501.39999999997</v>
      </c>
      <c r="H647" s="104">
        <f>L208+L226+L244</f>
        <v>428501.39999999997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56540.26</v>
      </c>
      <c r="H648" s="104">
        <f>(J257+J338)-(J255+J336)</f>
        <v>56540.26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293727.89999999997</v>
      </c>
      <c r="H649" s="104">
        <f>H598</f>
        <v>293727.89999999997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134773.5</v>
      </c>
      <c r="H651" s="104">
        <f>J598</f>
        <v>134773.5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85000</v>
      </c>
      <c r="H655" s="104">
        <f>K266+K347</f>
        <v>85000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5574764.8999999994</v>
      </c>
      <c r="G660" s="19">
        <f>(L229+L309+L359)</f>
        <v>0</v>
      </c>
      <c r="H660" s="19">
        <f>(L247+L328+L360)</f>
        <v>2441153.1</v>
      </c>
      <c r="I660" s="19">
        <f>SUM(F660:H660)</f>
        <v>8015918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70289.960000000006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70289.960000000006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293727.89999999997</v>
      </c>
      <c r="G662" s="19">
        <f>(L226+L306)-(J226+J306)</f>
        <v>0</v>
      </c>
      <c r="H662" s="19">
        <f>(L244+L325)-(J244+J325)</f>
        <v>134773.5</v>
      </c>
      <c r="I662" s="19">
        <f>SUM(F662:H662)</f>
        <v>428501.39999999997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248583.27</v>
      </c>
      <c r="G663" s="199">
        <f>SUM(G575:G587)+SUM(I602:I604)+L612</f>
        <v>0</v>
      </c>
      <c r="H663" s="199">
        <f>SUM(H575:H587)+SUM(J602:J604)+L613</f>
        <v>2306379.6</v>
      </c>
      <c r="I663" s="19">
        <f>SUM(F663:H663)</f>
        <v>2554962.87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4962163.7699999996</v>
      </c>
      <c r="G664" s="19">
        <f>G660-SUM(G661:G663)</f>
        <v>0</v>
      </c>
      <c r="H664" s="19">
        <f>H660-SUM(H661:H663)</f>
        <v>0</v>
      </c>
      <c r="I664" s="19">
        <f>I660-SUM(I661:I663)</f>
        <v>4962163.7699999996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274.3</v>
      </c>
      <c r="G665" s="248"/>
      <c r="H665" s="248"/>
      <c r="I665" s="19">
        <f>SUM(F665:H665)</f>
        <v>274.3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18090.28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18090.28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18090.28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18090.28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9" sqref="B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CHESTERFIELD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1430610.7</v>
      </c>
      <c r="C9" s="229">
        <f>'DOE25'!G197+'DOE25'!G215+'DOE25'!G233+'DOE25'!G276+'DOE25'!G295+'DOE25'!G314</f>
        <v>584087.32999999996</v>
      </c>
    </row>
    <row r="10" spans="1:3" x14ac:dyDescent="0.2">
      <c r="A10" t="s">
        <v>779</v>
      </c>
      <c r="B10" s="240">
        <v>1418712.07</v>
      </c>
      <c r="C10" s="240">
        <v>579229.38</v>
      </c>
    </row>
    <row r="11" spans="1:3" x14ac:dyDescent="0.2">
      <c r="A11" t="s">
        <v>780</v>
      </c>
      <c r="B11" s="240">
        <v>11898.63</v>
      </c>
      <c r="C11" s="240">
        <v>4857.95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1430610.7</v>
      </c>
      <c r="C13" s="231">
        <f>SUM(C10:C12)</f>
        <v>584087.32999999996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496301.89</v>
      </c>
      <c r="C18" s="229">
        <f>'DOE25'!G198+'DOE25'!G216+'DOE25'!G234+'DOE25'!G277+'DOE25'!G296+'DOE25'!G315</f>
        <v>267763.59999999998</v>
      </c>
    </row>
    <row r="19" spans="1:3" x14ac:dyDescent="0.2">
      <c r="A19" t="s">
        <v>779</v>
      </c>
      <c r="B19" s="240">
        <v>121693.17</v>
      </c>
      <c r="C19" s="240">
        <v>65655.61</v>
      </c>
    </row>
    <row r="20" spans="1:3" x14ac:dyDescent="0.2">
      <c r="A20" t="s">
        <v>780</v>
      </c>
      <c r="B20" s="240">
        <v>374608.72</v>
      </c>
      <c r="C20" s="240">
        <v>202107.99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496301.88999999996</v>
      </c>
      <c r="C22" s="231">
        <f>SUM(C19:C21)</f>
        <v>267763.59999999998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19200.3</v>
      </c>
      <c r="C36" s="235">
        <f>'DOE25'!G200+'DOE25'!G218+'DOE25'!G236+'DOE25'!G279+'DOE25'!G298+'DOE25'!G317</f>
        <v>2758.83</v>
      </c>
    </row>
    <row r="37" spans="1:3" x14ac:dyDescent="0.2">
      <c r="A37" t="s">
        <v>779</v>
      </c>
      <c r="B37" s="240">
        <v>14735.3</v>
      </c>
      <c r="C37" s="240">
        <v>2117.27</v>
      </c>
    </row>
    <row r="38" spans="1:3" x14ac:dyDescent="0.2">
      <c r="A38" t="s">
        <v>780</v>
      </c>
      <c r="B38" s="240">
        <v>4465</v>
      </c>
      <c r="C38" s="240">
        <v>641.55999999999995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19200.3</v>
      </c>
      <c r="C40" s="231">
        <f>SUM(C37:C39)</f>
        <v>2758.83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CHESTERFIELD SCHOOL DISTRICT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5370007.8700000001</v>
      </c>
      <c r="D5" s="20">
        <f>SUM('DOE25'!L197:L200)+SUM('DOE25'!L215:L218)+SUM('DOE25'!L233:L236)-F5-G5</f>
        <v>5355212.38</v>
      </c>
      <c r="E5" s="243"/>
      <c r="F5" s="255">
        <f>SUM('DOE25'!J197:J200)+SUM('DOE25'!J215:J218)+SUM('DOE25'!J233:J236)</f>
        <v>7768.24</v>
      </c>
      <c r="G5" s="53">
        <f>SUM('DOE25'!K197:K200)+SUM('DOE25'!K215:K218)+SUM('DOE25'!K233:K236)</f>
        <v>7027.25</v>
      </c>
      <c r="H5" s="259"/>
    </row>
    <row r="6" spans="1:9" x14ac:dyDescent="0.2">
      <c r="A6" s="32">
        <v>2100</v>
      </c>
      <c r="B6" t="s">
        <v>801</v>
      </c>
      <c r="C6" s="245">
        <f t="shared" si="0"/>
        <v>439132.49</v>
      </c>
      <c r="D6" s="20">
        <f>'DOE25'!L202+'DOE25'!L220+'DOE25'!L238-F6-G6</f>
        <v>437201.14999999997</v>
      </c>
      <c r="E6" s="243"/>
      <c r="F6" s="255">
        <f>'DOE25'!J202+'DOE25'!J220+'DOE25'!J238</f>
        <v>1931.3400000000001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139939.25999999998</v>
      </c>
      <c r="D7" s="20">
        <f>'DOE25'!L203+'DOE25'!L221+'DOE25'!L239-F7-G7</f>
        <v>139670.26999999999</v>
      </c>
      <c r="E7" s="243"/>
      <c r="F7" s="255">
        <f>'DOE25'!J203+'DOE25'!J221+'DOE25'!J239</f>
        <v>0</v>
      </c>
      <c r="G7" s="53">
        <f>'DOE25'!K203+'DOE25'!K221+'DOE25'!K239</f>
        <v>268.99</v>
      </c>
      <c r="H7" s="259"/>
    </row>
    <row r="8" spans="1:9" x14ac:dyDescent="0.2">
      <c r="A8" s="32">
        <v>2300</v>
      </c>
      <c r="B8" t="s">
        <v>802</v>
      </c>
      <c r="C8" s="245">
        <f t="shared" si="0"/>
        <v>352923</v>
      </c>
      <c r="D8" s="243"/>
      <c r="E8" s="20">
        <f>'DOE25'!L204+'DOE25'!L222+'DOE25'!L240-F8-G8-D9-D11</f>
        <v>349215.01</v>
      </c>
      <c r="F8" s="255">
        <f>'DOE25'!J204+'DOE25'!J222+'DOE25'!J240</f>
        <v>0</v>
      </c>
      <c r="G8" s="53">
        <f>'DOE25'!K204+'DOE25'!K222+'DOE25'!K240</f>
        <v>3707.99</v>
      </c>
      <c r="H8" s="259"/>
    </row>
    <row r="9" spans="1:9" x14ac:dyDescent="0.2">
      <c r="A9" s="32">
        <v>2310</v>
      </c>
      <c r="B9" t="s">
        <v>818</v>
      </c>
      <c r="C9" s="245">
        <f t="shared" si="0"/>
        <v>57926.59</v>
      </c>
      <c r="D9" s="244">
        <f>67676.59-9750</f>
        <v>57926.59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9750</v>
      </c>
      <c r="D10" s="243"/>
      <c r="E10" s="244">
        <v>9750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63222</v>
      </c>
      <c r="D11" s="244">
        <v>63222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249926.05999999997</v>
      </c>
      <c r="D12" s="20">
        <f>'DOE25'!L205+'DOE25'!L223+'DOE25'!L241-F12-G12</f>
        <v>249011.06999999998</v>
      </c>
      <c r="E12" s="243"/>
      <c r="F12" s="255">
        <f>'DOE25'!J205+'DOE25'!J223+'DOE25'!J241</f>
        <v>149.99</v>
      </c>
      <c r="G12" s="53">
        <f>'DOE25'!K205+'DOE25'!K223+'DOE25'!K241</f>
        <v>765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643119.9</v>
      </c>
      <c r="D14" s="20">
        <f>'DOE25'!L207+'DOE25'!L225+'DOE25'!L243-F14-G14</f>
        <v>625984.6</v>
      </c>
      <c r="E14" s="243"/>
      <c r="F14" s="255">
        <f>'DOE25'!J207+'DOE25'!J225+'DOE25'!J243</f>
        <v>17135.3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428501.39999999997</v>
      </c>
      <c r="D15" s="20">
        <f>'DOE25'!L208+'DOE25'!L226+'DOE25'!L244-F15-G15</f>
        <v>428501.39999999997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37181.31</v>
      </c>
      <c r="D16" s="243"/>
      <c r="E16" s="20">
        <f>'DOE25'!L209+'DOE25'!L227+'DOE25'!L245-F16-G16</f>
        <v>20186.909999999996</v>
      </c>
      <c r="F16" s="255">
        <f>'DOE25'!J209+'DOE25'!J227+'DOE25'!J245</f>
        <v>16994.400000000001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69594.649999999994</v>
      </c>
      <c r="D29" s="20">
        <f>'DOE25'!L358+'DOE25'!L359+'DOE25'!L360-'DOE25'!I367-F29-G29</f>
        <v>69269.649999999994</v>
      </c>
      <c r="E29" s="243"/>
      <c r="F29" s="255">
        <f>'DOE25'!J358+'DOE25'!J359+'DOE25'!J360</f>
        <v>0</v>
      </c>
      <c r="G29" s="53">
        <f>'DOE25'!K358+'DOE25'!K359+'DOE25'!K360</f>
        <v>325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116709.70999999999</v>
      </c>
      <c r="D31" s="20">
        <f>'DOE25'!L290+'DOE25'!L309+'DOE25'!L328+'DOE25'!L333+'DOE25'!L334+'DOE25'!L335-F31-G31</f>
        <v>97675.099999999991</v>
      </c>
      <c r="E31" s="243"/>
      <c r="F31" s="255">
        <f>'DOE25'!J290+'DOE25'!J309+'DOE25'!J328+'DOE25'!J333+'DOE25'!J334+'DOE25'!J335</f>
        <v>12560.99</v>
      </c>
      <c r="G31" s="53">
        <f>'DOE25'!K290+'DOE25'!K309+'DOE25'!K328+'DOE25'!K333+'DOE25'!K334+'DOE25'!K335</f>
        <v>6473.62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7523674.21</v>
      </c>
      <c r="E33" s="246">
        <f>SUM(E5:E31)</f>
        <v>379151.92</v>
      </c>
      <c r="F33" s="246">
        <f>SUM(F5:F31)</f>
        <v>56540.26</v>
      </c>
      <c r="G33" s="246">
        <f>SUM(G5:G31)</f>
        <v>18567.849999999999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379151.92</v>
      </c>
      <c r="E35" s="249"/>
    </row>
    <row r="36" spans="2:8" ht="12" thickTop="1" x14ac:dyDescent="0.2">
      <c r="B36" t="s">
        <v>815</v>
      </c>
      <c r="D36" s="20">
        <f>D33</f>
        <v>7523674.21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tabSelected="1"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CHESTERFIELD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307024.72000000003</v>
      </c>
      <c r="D8" s="95">
        <f>'DOE25'!G9</f>
        <v>1752.52</v>
      </c>
      <c r="E8" s="95">
        <f>'DOE25'!H9</f>
        <v>170.12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273481.39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76171.100000000006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61636.71</v>
      </c>
      <c r="D12" s="95">
        <f>'DOE25'!G13</f>
        <v>2253.1799999999998</v>
      </c>
      <c r="E12" s="95">
        <f>'DOE25'!H13</f>
        <v>77242.100000000006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555.66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444832.53000000009</v>
      </c>
      <c r="D18" s="41">
        <f>SUM(D8:D17)</f>
        <v>4561.3599999999997</v>
      </c>
      <c r="E18" s="41">
        <f>SUM(E8:E17)</f>
        <v>77412.22</v>
      </c>
      <c r="F18" s="41">
        <f>SUM(F8:F17)</f>
        <v>0</v>
      </c>
      <c r="G18" s="41">
        <f>SUM(G8:G17)</f>
        <v>273481.39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76171.100000000006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2754.39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50024.15</v>
      </c>
      <c r="D23" s="95">
        <f>'DOE25'!G24</f>
        <v>0</v>
      </c>
      <c r="E23" s="95">
        <f>'DOE25'!H24</f>
        <v>1071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17745.53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3744.33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70524.070000000007</v>
      </c>
      <c r="D31" s="41">
        <f>SUM(D21:D30)</f>
        <v>3744.33</v>
      </c>
      <c r="E31" s="41">
        <f>SUM(E21:E30)</f>
        <v>77242.100000000006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817.03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170.12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6107.71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273481.39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308200.75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374308.46</v>
      </c>
      <c r="D50" s="41">
        <f>SUM(D34:D49)</f>
        <v>817.03</v>
      </c>
      <c r="E50" s="41">
        <f>SUM(E34:E49)</f>
        <v>170.12</v>
      </c>
      <c r="F50" s="41">
        <f>SUM(F34:F49)</f>
        <v>0</v>
      </c>
      <c r="G50" s="41">
        <f>SUM(G34:G49)</f>
        <v>273481.39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444832.53</v>
      </c>
      <c r="D51" s="41">
        <f>D50+D31</f>
        <v>4561.3599999999997</v>
      </c>
      <c r="E51" s="41">
        <f>E50+E31</f>
        <v>77412.22</v>
      </c>
      <c r="F51" s="41">
        <f>F50+F31</f>
        <v>0</v>
      </c>
      <c r="G51" s="41">
        <f>G50+G31</f>
        <v>273481.39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5586973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711.25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789.93999999999994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70289.960000000006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154123.75</v>
      </c>
      <c r="D61" s="95">
        <f>SUM('DOE25'!G98:G110)</f>
        <v>0</v>
      </c>
      <c r="E61" s="95">
        <f>SUM('DOE25'!H98:H110)</f>
        <v>-217.25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154835</v>
      </c>
      <c r="D62" s="130">
        <f>SUM(D57:D61)</f>
        <v>70289.960000000006</v>
      </c>
      <c r="E62" s="130">
        <f>SUM(E57:E61)</f>
        <v>-217.25</v>
      </c>
      <c r="F62" s="130">
        <f>SUM(F57:F61)</f>
        <v>0</v>
      </c>
      <c r="G62" s="130">
        <f>SUM(G57:G61)</f>
        <v>789.93999999999994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5741808</v>
      </c>
      <c r="D63" s="22">
        <f>D56+D62</f>
        <v>70289.960000000006</v>
      </c>
      <c r="E63" s="22">
        <f>E56+E62</f>
        <v>-217.25</v>
      </c>
      <c r="F63" s="22">
        <f>F56+F62</f>
        <v>0</v>
      </c>
      <c r="G63" s="22">
        <f>G56+G62</f>
        <v>789.93999999999994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629746.61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1182991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1812737.6099999999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96902.05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1497.3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96902.05</v>
      </c>
      <c r="D78" s="130">
        <f>SUM(D72:D77)</f>
        <v>1497.3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1909639.66</v>
      </c>
      <c r="D81" s="130">
        <f>SUM(D79:D80)+D78+D70</f>
        <v>1497.3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9146.01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56095.08</v>
      </c>
      <c r="D88" s="95">
        <f>SUM('DOE25'!G153:G161)</f>
        <v>42414.1</v>
      </c>
      <c r="E88" s="95">
        <f>SUM('DOE25'!H153:H161)</f>
        <v>107511.08000000002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56095.08</v>
      </c>
      <c r="D91" s="131">
        <f>SUM(D85:D90)</f>
        <v>42414.1</v>
      </c>
      <c r="E91" s="131">
        <f>SUM(E85:E90)</f>
        <v>116657.09000000001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85000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85000</v>
      </c>
    </row>
    <row r="104" spans="1:7" ht="12.75" thickTop="1" thickBot="1" x14ac:dyDescent="0.25">
      <c r="A104" s="33" t="s">
        <v>765</v>
      </c>
      <c r="C104" s="86">
        <f>C63+C81+C91+C103</f>
        <v>7707542.7400000002</v>
      </c>
      <c r="D104" s="86">
        <f>D63+D81+D91+D103</f>
        <v>114201.36000000002</v>
      </c>
      <c r="E104" s="86">
        <f>E63+E81+E91+E103</f>
        <v>116439.84000000001</v>
      </c>
      <c r="F104" s="86">
        <f>F63+F81+F91+F103</f>
        <v>0</v>
      </c>
      <c r="G104" s="86">
        <f>G63+G81+G103</f>
        <v>85789.94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3631337.8</v>
      </c>
      <c r="D109" s="24" t="s">
        <v>289</v>
      </c>
      <c r="E109" s="95">
        <f>('DOE25'!L276)+('DOE25'!L295)+('DOE25'!L314)</f>
        <v>23125.85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1694066.79</v>
      </c>
      <c r="D110" s="24" t="s">
        <v>289</v>
      </c>
      <c r="E110" s="95">
        <f>('DOE25'!L277)+('DOE25'!L296)+('DOE25'!L315)</f>
        <v>4377.62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44603.28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5370007.8700000001</v>
      </c>
      <c r="D115" s="86">
        <f>SUM(D109:D114)</f>
        <v>0</v>
      </c>
      <c r="E115" s="86">
        <f>SUM(E109:E114)</f>
        <v>27503.469999999998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439132.49</v>
      </c>
      <c r="D118" s="24" t="s">
        <v>289</v>
      </c>
      <c r="E118" s="95">
        <f>+('DOE25'!L281)+('DOE25'!L300)+('DOE25'!L319)</f>
        <v>420.76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139939.25999999998</v>
      </c>
      <c r="D119" s="24" t="s">
        <v>289</v>
      </c>
      <c r="E119" s="95">
        <f>+('DOE25'!L282)+('DOE25'!L301)+('DOE25'!L320)</f>
        <v>81600.11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474071.58999999997</v>
      </c>
      <c r="D120" s="24" t="s">
        <v>289</v>
      </c>
      <c r="E120" s="95">
        <f>+('DOE25'!L283)+('DOE25'!L302)+('DOE25'!L321)</f>
        <v>1071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249926.05999999997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6114.37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643119.9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428501.39999999997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37181.31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117328.41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2411872.0099999998</v>
      </c>
      <c r="D128" s="86">
        <f>SUM(D118:D127)</f>
        <v>117328.41</v>
      </c>
      <c r="E128" s="86">
        <f>SUM(E118:E127)</f>
        <v>89206.239999999991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75239.77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10550.17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-789.94000000000233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85000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7866879.8799999999</v>
      </c>
      <c r="D145" s="86">
        <f>(D115+D128+D144)</f>
        <v>117328.41</v>
      </c>
      <c r="E145" s="86">
        <f>(E115+E128+E144)</f>
        <v>116709.70999999999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CHESTERFIELD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18090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18090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3654464</v>
      </c>
      <c r="D10" s="182">
        <f>ROUND((C10/$C$28)*100,1)</f>
        <v>46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1698444</v>
      </c>
      <c r="D11" s="182">
        <f>ROUND((C11/$C$28)*100,1)</f>
        <v>21.4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44603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439553</v>
      </c>
      <c r="D15" s="182">
        <f t="shared" ref="D15:D27" si="0">ROUND((C15/$C$28)*100,1)</f>
        <v>5.5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221539</v>
      </c>
      <c r="D16" s="182">
        <f t="shared" si="0"/>
        <v>2.8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512324</v>
      </c>
      <c r="D17" s="182">
        <f t="shared" si="0"/>
        <v>6.4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249926</v>
      </c>
      <c r="D18" s="182">
        <f t="shared" si="0"/>
        <v>3.1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6114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643120</v>
      </c>
      <c r="D20" s="182">
        <f t="shared" si="0"/>
        <v>8.1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428501</v>
      </c>
      <c r="D21" s="182">
        <f t="shared" si="0"/>
        <v>5.4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47038.039999999994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7945626.04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7945626.04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5586973</v>
      </c>
      <c r="D35" s="182">
        <f t="shared" ref="D35:D40" si="1">ROUND((C35/$C$41)*100,1)</f>
        <v>71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155407.69000000041</v>
      </c>
      <c r="D36" s="182">
        <f t="shared" si="1"/>
        <v>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1812738</v>
      </c>
      <c r="D37" s="182">
        <f t="shared" si="1"/>
        <v>23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98399</v>
      </c>
      <c r="D38" s="182">
        <f t="shared" si="1"/>
        <v>1.3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215166</v>
      </c>
      <c r="D39" s="182">
        <f t="shared" si="1"/>
        <v>2.7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7868683.6900000004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770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767</v>
      </c>
      <c r="B2" s="302"/>
      <c r="C2" s="302"/>
      <c r="D2" s="302"/>
      <c r="E2" s="302"/>
      <c r="F2" s="299" t="str">
        <f>'DOE25'!A2</f>
        <v>CHESTERFIELD SCHOOL DISTRICT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7" t="s">
        <v>771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848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2016-09-23T18:23:13Z</cp:lastPrinted>
  <dcterms:created xsi:type="dcterms:W3CDTF">1997-12-04T19:04:30Z</dcterms:created>
  <dcterms:modified xsi:type="dcterms:W3CDTF">2016-09-23T18:23:18Z</dcterms:modified>
</cp:coreProperties>
</file>