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840" yWindow="1995" windowWidth="15375" windowHeight="9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H202" i="1" l="1"/>
  <c r="H198" i="1"/>
  <c r="F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L268" i="1"/>
  <c r="C26" i="10" s="1"/>
  <c r="L269" i="1"/>
  <c r="L349" i="1"/>
  <c r="L350" i="1"/>
  <c r="I665" i="1"/>
  <c r="I670" i="1"/>
  <c r="L229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328" i="1"/>
  <c r="L351" i="1"/>
  <c r="A31" i="12"/>
  <c r="C70" i="2"/>
  <c r="A40" i="12"/>
  <c r="D18" i="13"/>
  <c r="C18" i="13" s="1"/>
  <c r="D17" i="13"/>
  <c r="C17" i="13" s="1"/>
  <c r="C91" i="2"/>
  <c r="F78" i="2"/>
  <c r="F81" i="2" s="1"/>
  <c r="D50" i="2"/>
  <c r="G157" i="2"/>
  <c r="F18" i="2"/>
  <c r="G161" i="2"/>
  <c r="E103" i="2"/>
  <c r="D91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J641" i="1"/>
  <c r="J639" i="1"/>
  <c r="K605" i="1"/>
  <c r="G648" i="1" s="1"/>
  <c r="J571" i="1"/>
  <c r="K571" i="1"/>
  <c r="L433" i="1"/>
  <c r="L419" i="1"/>
  <c r="D81" i="2"/>
  <c r="I169" i="1"/>
  <c r="J643" i="1"/>
  <c r="H476" i="1"/>
  <c r="H624" i="1" s="1"/>
  <c r="J624" i="1" s="1"/>
  <c r="I476" i="1"/>
  <c r="H625" i="1" s="1"/>
  <c r="J625" i="1" s="1"/>
  <c r="G338" i="1"/>
  <c r="G352" i="1" s="1"/>
  <c r="J140" i="1"/>
  <c r="F571" i="1"/>
  <c r="I552" i="1"/>
  <c r="G22" i="2"/>
  <c r="K545" i="1"/>
  <c r="C29" i="10"/>
  <c r="H140" i="1"/>
  <c r="L393" i="1"/>
  <c r="F22" i="13"/>
  <c r="H25" i="13"/>
  <c r="C25" i="13" s="1"/>
  <c r="H571" i="1"/>
  <c r="L560" i="1"/>
  <c r="H192" i="1"/>
  <c r="L309" i="1"/>
  <c r="E16" i="13"/>
  <c r="J645" i="1"/>
  <c r="L570" i="1"/>
  <c r="I571" i="1"/>
  <c r="J636" i="1"/>
  <c r="G36" i="2"/>
  <c r="L565" i="1"/>
  <c r="C22" i="13"/>
  <c r="C138" i="2"/>
  <c r="C16" i="13"/>
  <c r="J552" i="1" l="1"/>
  <c r="K549" i="1"/>
  <c r="L544" i="1"/>
  <c r="G545" i="1"/>
  <c r="K550" i="1"/>
  <c r="G552" i="1"/>
  <c r="H545" i="1"/>
  <c r="A13" i="12"/>
  <c r="C11" i="10"/>
  <c r="C124" i="2"/>
  <c r="K598" i="1"/>
  <c r="G647" i="1" s="1"/>
  <c r="I662" i="1"/>
  <c r="J651" i="1"/>
  <c r="K551" i="1"/>
  <c r="K552" i="1" s="1"/>
  <c r="L534" i="1"/>
  <c r="H552" i="1"/>
  <c r="L529" i="1"/>
  <c r="L545" i="1" s="1"/>
  <c r="K503" i="1"/>
  <c r="J634" i="1"/>
  <c r="C118" i="2"/>
  <c r="C21" i="10"/>
  <c r="L247" i="1"/>
  <c r="H660" i="1" s="1"/>
  <c r="D7" i="13"/>
  <c r="C7" i="13" s="1"/>
  <c r="C110" i="2"/>
  <c r="C15" i="10"/>
  <c r="F476" i="1"/>
  <c r="H622" i="1" s="1"/>
  <c r="J622" i="1" s="1"/>
  <c r="J623" i="1"/>
  <c r="D31" i="2"/>
  <c r="D51" i="2" s="1"/>
  <c r="D18" i="2"/>
  <c r="K338" i="1"/>
  <c r="K352" i="1" s="1"/>
  <c r="K271" i="1"/>
  <c r="H33" i="13"/>
  <c r="H257" i="1"/>
  <c r="H271" i="1" s="1"/>
  <c r="G649" i="1"/>
  <c r="J649" i="1" s="1"/>
  <c r="H647" i="1"/>
  <c r="D15" i="13"/>
  <c r="C15" i="13" s="1"/>
  <c r="D12" i="13"/>
  <c r="C12" i="13" s="1"/>
  <c r="E31" i="2"/>
  <c r="H52" i="1"/>
  <c r="H619" i="1" s="1"/>
  <c r="J619" i="1" s="1"/>
  <c r="F661" i="1"/>
  <c r="D6" i="13"/>
  <c r="C6" i="13" s="1"/>
  <c r="H661" i="1"/>
  <c r="L362" i="1"/>
  <c r="C27" i="10" s="1"/>
  <c r="D29" i="13"/>
  <c r="C29" i="13" s="1"/>
  <c r="D145" i="2"/>
  <c r="G661" i="1"/>
  <c r="E128" i="2"/>
  <c r="L290" i="1"/>
  <c r="L338" i="1" s="1"/>
  <c r="L352" i="1" s="1"/>
  <c r="G633" i="1" s="1"/>
  <c r="J633" i="1" s="1"/>
  <c r="E115" i="2"/>
  <c r="C18" i="10"/>
  <c r="E8" i="13"/>
  <c r="C8" i="13" s="1"/>
  <c r="C17" i="10"/>
  <c r="C81" i="2"/>
  <c r="C62" i="2"/>
  <c r="F112" i="1"/>
  <c r="C35" i="10"/>
  <c r="C36" i="10" s="1"/>
  <c r="C56" i="2"/>
  <c r="C63" i="2" s="1"/>
  <c r="C104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128" i="2" l="1"/>
  <c r="J647" i="1"/>
  <c r="H646" i="1"/>
  <c r="H664" i="1"/>
  <c r="H667" i="1" s="1"/>
  <c r="E51" i="2"/>
  <c r="I661" i="1"/>
  <c r="D31" i="13"/>
  <c r="C31" i="13" s="1"/>
  <c r="G635" i="1"/>
  <c r="J635" i="1" s="1"/>
  <c r="E145" i="2"/>
  <c r="E33" i="13"/>
  <c r="D35" i="13" s="1"/>
  <c r="G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67" i="1"/>
  <c r="G672" i="1"/>
  <c r="C5" i="10" s="1"/>
  <c r="C41" i="10"/>
  <c r="D38" i="10" s="1"/>
  <c r="D37" i="10" l="1"/>
  <c r="D36" i="10"/>
  <c r="D35" i="10"/>
  <c r="D40" i="10"/>
  <c r="D39" i="10"/>
  <c r="D41" i="10" l="1"/>
  <c r="C9" i="12"/>
  <c r="G211" i="1"/>
  <c r="G257" i="1" s="1"/>
  <c r="G271" i="1" s="1"/>
  <c r="L197" i="1"/>
  <c r="D5" i="13" s="1"/>
  <c r="C109" i="2" l="1"/>
  <c r="C115" i="2" s="1"/>
  <c r="C145" i="2" s="1"/>
  <c r="D33" i="13"/>
  <c r="D36" i="13" s="1"/>
  <c r="C5" i="13"/>
  <c r="C10" i="10"/>
  <c r="L211" i="1"/>
  <c r="C28" i="10" l="1"/>
  <c r="L257" i="1"/>
  <c r="L271" i="1" s="1"/>
  <c r="G632" i="1" s="1"/>
  <c r="F660" i="1"/>
  <c r="F664" i="1" l="1"/>
  <c r="I660" i="1"/>
  <c r="I664" i="1" s="1"/>
  <c r="D20" i="10"/>
  <c r="D13" i="10"/>
  <c r="D16" i="10"/>
  <c r="D27" i="10"/>
  <c r="D21" i="10"/>
  <c r="D12" i="10"/>
  <c r="D19" i="10"/>
  <c r="D15" i="10"/>
  <c r="D22" i="10"/>
  <c r="D17" i="10"/>
  <c r="C30" i="10"/>
  <c r="D25" i="10"/>
  <c r="D24" i="10"/>
  <c r="D18" i="10"/>
  <c r="D26" i="10"/>
  <c r="D11" i="10"/>
  <c r="D23" i="10"/>
  <c r="J632" i="1"/>
  <c r="H656" i="1"/>
  <c r="D10" i="10"/>
  <c r="D28" i="10" l="1"/>
  <c r="I672" i="1"/>
  <c r="C7" i="10" s="1"/>
  <c r="I667" i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<sst xmlns="http://schemas.openxmlformats.org/spreadsheetml/2006/main" count="3958" uniqueCount="915">
  <si>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</si>
  <si>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</si>
  <si>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</si>
  <si>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</si>
  <si>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</si>
  <si>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</si>
  <si>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</si>
  <si>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</si>
  <si>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</si>
  <si>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</si>
  <si>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</si>
  <si>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</si>
  <si>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</si>
  <si>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</si>
  <si>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</si>
  <si>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</si>
  <si>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</si>
  <si>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</si>
  <si>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</si>
  <si>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</si>
  <si>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</si>
  <si>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</si>
  <si>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</si>
  <si>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</si>
  <si>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</si>
  <si>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</si>
  <si>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</si>
  <si>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</si>
  <si>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</si>
  <si>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</si>
  <si>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</si>
  <si>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</si>
  <si>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</si>
  <si>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</si>
  <si>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</si>
  <si>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</si>
  <si>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</si>
  <si>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</si>
  <si>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</si>
  <si>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</si>
  <si>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</si>
  <si>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</si>
  <si>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</si>
  <si>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</si>
  <si>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</si>
  <si>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</si>
  <si>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</si>
  <si>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</si>
  <si>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</si>
  <si>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</si>
  <si>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</si>
  <si>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</si>
  <si>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</si>
  <si>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</si>
  <si>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</si>
  <si>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</si>
  <si>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</si>
  <si>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</si>
  <si>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</si>
  <si>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</si>
  <si>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</si>
  <si>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</si>
  <si>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</si>
  <si>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</si>
  <si>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</si>
  <si>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</si>
  <si>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</si>
  <si>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</si>
  <si>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</si>
  <si>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</si>
  <si>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</si>
  <si>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</si>
  <si>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</si>
  <si>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</si>
  <si>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</si>
  <si>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</si>
  <si>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</si>
  <si>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</si>
  <si>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</si>
  <si>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</si>
  <si>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</si>
  <si>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</si>
  <si>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</si>
  <si>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</si>
  <si>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</si>
  <si>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</si>
  <si>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</si>
  <si>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</si>
  <si>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</si>
  <si>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</si>
  <si>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</si>
  <si>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</si>
  <si>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</si>
  <si>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</si>
  <si>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</si>
  <si>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</si>
  <si>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</si>
  <si>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</si>
  <si>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</si>
  <si>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</si>
  <si>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</si>
  <si>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</si>
  <si>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</si>
  <si>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</si>
  <si>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</si>
  <si>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</si>
  <si>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</si>
  <si>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</si>
  <si>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</si>
  <si>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</si>
  <si>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</si>
  <si>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</si>
  <si>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</si>
  <si>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</si>
  <si>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</si>
  <si>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</si>
  <si>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</si>
  <si>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</si>
  <si>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</si>
  <si>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</si>
  <si>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</si>
  <si>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</si>
  <si>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</si>
  <si>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</si>
  <si>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</si>
  <si>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</si>
  <si>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</si>
  <si>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</si>
  <si>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</si>
  <si>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</si>
  <si>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</si>
  <si>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</si>
  <si>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</si>
  <si>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</si>
  <si>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</si>
  <si>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</si>
  <si>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</si>
  <si>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</si>
  <si>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</si>
  <si>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</si>
  <si>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</si>
  <si>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</si>
  <si>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</si>
  <si>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</si>
  <si>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</si>
  <si>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</si>
  <si>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</si>
  <si>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</si>
  <si>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</si>
  <si>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</si>
  <si>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</si>
  <si>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</si>
  <si>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</si>
  <si>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</si>
  <si>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</si>
  <si>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</si>
  <si>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</si>
  <si>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</si>
  <si>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</si>
  <si>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</si>
  <si>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</si>
  <si>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</si>
  <si>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</si>
  <si>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</si>
  <si>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</si>
  <si>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</si>
  <si>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</si>
  <si>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</si>
  <si>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</si>
  <si>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</si>
  <si>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</si>
  <si>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</si>
  <si>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</si>
  <si>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</si>
  <si>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</si>
  <si>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</si>
  <si>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</si>
  <si>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</si>
  <si>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</si>
  <si>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</si>
  <si>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</si>
  <si>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</si>
  <si>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</si>
  <si>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</si>
  <si>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</si>
  <si>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</si>
  <si>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</si>
  <si>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</si>
  <si>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</si>
  <si>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</si>
  <si>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</si>
  <si>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</si>
  <si>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</si>
  <si>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</si>
  <si>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</si>
  <si>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</si>
  <si>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</si>
  <si>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</si>
  <si>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</si>
  <si>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</si>
  <si>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</si>
  <si>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</si>
  <si>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</si>
  <si>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</si>
  <si>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</si>
  <si>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</si>
  <si>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</si>
  <si>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</si>
  <si>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</si>
  <si>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</si>
  <si>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</si>
  <si>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</si>
  <si>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</si>
  <si>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</si>
  <si>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</si>
  <si>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</si>
  <si>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</si>
  <si>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</si>
  <si>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</si>
  <si>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</si>
  <si>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</si>
  <si>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</si>
  <si>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</si>
  <si>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</si>
  <si>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</si>
  <si>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</si>
  <si>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</si>
  <si>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</si>
  <si>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</si>
  <si>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</si>
  <si>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</si>
  <si>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</si>
  <si>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</si>
  <si>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</si>
  <si>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</si>
  <si>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</si>
  <si>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</si>
  <si>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</si>
  <si>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</si>
  <si>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</si>
  <si>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</si>
  <si>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</si>
  <si>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</si>
  <si>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</si>
  <si>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</si>
  <si>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</si>
  <si>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</si>
  <si>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</si>
  <si>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</si>
  <si>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</si>
  <si>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</si>
  <si>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</si>
  <si>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</si>
  <si>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</si>
  <si>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</si>
  <si>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</si>
  <si>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</si>
  <si>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</si>
  <si>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</si>
  <si>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</si>
  <si>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</si>
  <si>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</si>
  <si>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</si>
  <si>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</si>
  <si>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</si>
  <si>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</si>
  <si>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</si>
  <si>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</si>
  <si>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</si>
  <si>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</si>
  <si>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</si>
  <si>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</si>
  <si>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</si>
  <si>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</si>
  <si>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</si>
  <si>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</si>
  <si>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</si>
  <si>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</si>
  <si>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</si>
  <si>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</si>
  <si>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</si>
  <si>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</si>
  <si>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</si>
  <si>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</si>
  <si>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</si>
  <si>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</si>
  <si>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</si>
  <si>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</si>
  <si>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</si>
  <si>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</si>
  <si>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</si>
  <si>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</si>
  <si>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</si>
  <si>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</si>
  <si>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</si>
  <si>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</si>
  <si>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</si>
  <si>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</si>
  <si>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</si>
  <si>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</si>
  <si>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</si>
  <si>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</si>
  <si>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</si>
  <si>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</si>
  <si>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</si>
  <si>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</si>
  <si>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</si>
  <si>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</si>
  <si>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</si>
  <si>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</si>
  <si>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</si>
  <si>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</si>
  <si>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</si>
  <si>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</si>
  <si>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</si>
  <si>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</si>
  <si>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</si>
  <si>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</si>
  <si>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</si>
  <si>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</si>
  <si>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</si>
  <si>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</si>
  <si>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</si>
  <si>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</si>
  <si>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</si>
  <si>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</si>
  <si>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</si>
  <si>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</si>
  <si>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</si>
  <si>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</si>
  <si>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</si>
  <si>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</si>
  <si>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</si>
  <si>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</si>
  <si>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</si>
  <si>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</si>
  <si>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</si>
  <si>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</si>
  <si>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</si>
  <si>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</si>
  <si>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</si>
  <si>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</si>
  <si>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</si>
  <si>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</si>
  <si>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</si>
  <si>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</si>
  <si>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</si>
  <si>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</si>
  <si>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</si>
  <si>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</si>
  <si>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</si>
  <si>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</si>
  <si>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</si>
  <si>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</si>
  <si>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</si>
  <si>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</si>
  <si>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</si>
  <si>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</si>
  <si>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</si>
  <si>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</si>
  <si>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</si>
  <si>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</si>
  <si>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</si>
  <si>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</si>
  <si>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</si>
  <si>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</si>
  <si>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</si>
  <si>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</si>
  <si>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</si>
  <si>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</si>
  <si>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</si>
  <si>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</si>
  <si>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</si>
  <si>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</si>
  <si>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</si>
  <si>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</si>
  <si>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</si>
  <si>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</si>
  <si>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</si>
  <si>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</si>
  <si>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</si>
  <si>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</si>
  <si>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</si>
  <si>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</si>
  <si>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</si>
  <si>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</si>
  <si>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</si>
  <si>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</si>
  <si>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</si>
  <si>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</si>
  <si>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</si>
  <si>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</si>
  <si>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</si>
  <si>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</si>
  <si>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</si>
  <si>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</si>
  <si>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</si>
  <si>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</si>
  <si>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</si>
  <si>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</si>
  <si>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</si>
  <si>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</si>
  <si>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</si>
  <si>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</si>
  <si>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</si>
  <si>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</si>
  <si>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</si>
  <si>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</si>
  <si>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</si>
  <si>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</si>
  <si>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</si>
  <si>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</si>
  <si>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</si>
  <si>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</si>
  <si>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</si>
  <si>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</si>
  <si>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</si>
  <si>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</si>
  <si>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</si>
  <si>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</si>
  <si>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</si>
  <si>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</si>
  <si>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</si>
  <si>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</si>
  <si>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</si>
  <si>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</si>
  <si>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</si>
  <si>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</si>
  <si>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</si>
  <si>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</si>
  <si>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</si>
  <si>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</si>
  <si>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</si>
  <si>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</si>
  <si>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</si>
  <si>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</si>
  <si>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</si>
  <si>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</si>
  <si>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</si>
  <si>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</si>
  <si>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</si>
  <si>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</si>
  <si>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</si>
  <si>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</si>
  <si>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</si>
  <si>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</si>
  <si>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</si>
  <si>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</si>
  <si>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</si>
  <si>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</si>
  <si>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</si>
  <si>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</si>
  <si>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</si>
  <si>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</si>
  <si>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</si>
  <si>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</si>
  <si>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</si>
  <si>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</si>
  <si>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</si>
  <si>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</si>
  <si>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</si>
  <si>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</si>
  <si>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</si>
  <si>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</si>
  <si>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</si>
  <si>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</si>
  <si>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</si>
  <si>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</si>
  <si>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</si>
  <si>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</si>
  <si>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</si>
  <si>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</si>
  <si>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</si>
  <si>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</si>
  <si>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</si>
  <si>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</si>
  <si>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</si>
  <si>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</si>
  <si>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</si>
  <si>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</si>
  <si>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</si>
  <si>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</si>
  <si>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</si>
  <si>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</si>
  <si>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</si>
  <si>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</si>
  <si>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</si>
  <si>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</si>
  <si>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</si>
  <si>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</si>
  <si>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</si>
  <si>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</si>
  <si>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</si>
  <si>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</si>
  <si>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</si>
  <si>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</si>
  <si>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</si>
  <si>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</si>
  <si>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</si>
  <si>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</si>
  <si>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</si>
  <si>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</si>
  <si>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</si>
  <si>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</si>
  <si>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</si>
  <si>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</si>
  <si>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</si>
  <si>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</si>
  <si>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</si>
  <si>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</si>
  <si>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</si>
  <si>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</si>
  <si>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</si>
  <si>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</si>
  <si>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</si>
  <si>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</si>
  <si>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</si>
  <si>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</si>
  <si>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</si>
  <si>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</si>
  <si>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</si>
  <si>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</si>
  <si>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</si>
  <si>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</si>
  <si>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</si>
  <si>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</si>
  <si>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</si>
  <si>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</si>
  <si>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</si>
  <si>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</si>
  <si>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</si>
  <si>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</si>
  <si>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</si>
  <si>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</si>
  <si>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</si>
  <si>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</si>
  <si>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</si>
  <si>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</si>
  <si>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</si>
  <si>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</si>
  <si>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</si>
  <si>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</si>
  <si>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</si>
  <si>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</si>
  <si>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</si>
  <si>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</si>
  <si>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</si>
  <si>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</si>
  <si>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</si>
  <si>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</si>
  <si>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</si>
  <si>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</si>
  <si>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</si>
  <si>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</si>
  <si>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</si>
  <si>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</si>
  <si>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</si>
  <si>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</si>
  <si>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</si>
  <si>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</si>
  <si>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</si>
  <si>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</si>
  <si>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</si>
  <si>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</si>
  <si>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</si>
  <si>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</si>
  <si>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</si>
  <si>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</si>
  <si>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</si>
  <si>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</si>
  <si>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</si>
  <si>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</si>
  <si>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</si>
  <si>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</si>
  <si>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</si>
  <si>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</si>
  <si>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</si>
  <si>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</si>
  <si>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</si>
  <si>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</si>
  <si>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</si>
  <si>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</si>
  <si>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</si>
  <si>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</si>
  <si>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</si>
  <si>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</si>
  <si>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</si>
  <si>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</si>
  <si>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</si>
  <si>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</si>
  <si>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</si>
  <si>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</si>
  <si>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</si>
  <si>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</si>
  <si>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</si>
  <si>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</si>
  <si>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</si>
  <si>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</si>
  <si>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</si>
  <si>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</si>
  <si>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</si>
  <si>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</si>
  <si>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</si>
  <si>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</si>
  <si>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</si>
  <si>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</si>
  <si>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</si>
  <si>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</si>
  <si>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</si>
  <si>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</si>
  <si>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</si>
  <si>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</si>
  <si>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</si>
  <si>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</si>
  <si>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</si>
  <si>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</si>
  <si>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</si>
  <si>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</si>
  <si>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</si>
  <si>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</si>
  <si>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</si>
  <si>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</si>
  <si>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</si>
  <si>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</si>
  <si>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</si>
  <si>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</si>
  <si>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</si>
  <si>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</si>
  <si>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</si>
  <si>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</si>
  <si>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</si>
  <si>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</si>
  <si>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</si>
  <si>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</si>
  <si>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</si>
  <si>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</si>
  <si>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</si>
  <si>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</si>
  <si>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</si>
  <si>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</si>
  <si>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</si>
  <si>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</si>
  <si>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</si>
  <si>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</si>
  <si>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</si>
  <si>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</si>
  <si>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</si>
  <si>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</si>
  <si>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</si>
  <si>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</si>
  <si>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</si>
  <si>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</si>
  <si>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</si>
  <si>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</si>
  <si>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</si>
  <si>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</si>
  <si>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</si>
  <si>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</si>
  <si>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</si>
  <si>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</si>
  <si>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</si>
  <si>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</si>
  <si>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</si>
  <si>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</si>
  <si>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</si>
  <si>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</si>
  <si>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</si>
  <si>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</si>
  <si>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</si>
  <si>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</si>
  <si>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</si>
  <si>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</si>
  <si>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</si>
  <si>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</si>
  <si>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</si>
  <si>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</si>
  <si>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</si>
  <si>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</si>
  <si>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</si>
  <si>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</si>
  <si>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</si>
  <si>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</si>
  <si>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</si>
  <si>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</si>
  <si>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</si>
  <si>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</si>
  <si>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</si>
  <si>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</si>
  <si>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</si>
  <si>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</si>
  <si>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</si>
  <si>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</si>
  <si>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</si>
  <si>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</si>
  <si>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</si>
  <si>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</si>
  <si>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</si>
  <si>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</si>
  <si>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</si>
  <si>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</si>
  <si>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</si>
  <si>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</si>
  <si>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</si>
  <si>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</si>
  <si>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</si>
  <si>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</si>
  <si>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</si>
  <si>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</si>
  <si>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</si>
  <si>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</si>
  <si>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</si>
  <si>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</si>
  <si>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</si>
  <si>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</si>
  <si>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</si>
  <si>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</si>
  <si>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</si>
  <si>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</si>
  <si>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</si>
  <si>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</si>
  <si>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</si>
  <si>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</si>
  <si>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</si>
  <si>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</si>
  <si>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</si>
  <si>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</si>
  <si>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</si>
  <si>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</si>
  <si>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</si>
  <si>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</si>
  <si>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</si>
  <si>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</si>
  <si>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</si>
  <si>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</si>
  <si>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</si>
  <si>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</si>
  <si>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</si>
  <si>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</si>
  <si>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</si>
  <si>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</si>
  <si>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</si>
  <si>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</si>
  <si>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</si>
  <si>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</si>
  <si>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</si>
  <si>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</si>
  <si>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</si>
  <si>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</si>
  <si>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</si>
  <si>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</si>
  <si>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</si>
  <si>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</si>
  <si>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</si>
  <si>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</si>
  <si>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</si>
  <si>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</si>
  <si>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</si>
  <si>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</si>
  <si>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</si>
  <si>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</si>
  <si>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</si>
  <si>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</si>
  <si>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</si>
  <si>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</si>
  <si>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</si>
  <si>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</si>
  <si>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</si>
  <si>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</si>
  <si>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</si>
  <si>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</si>
  <si>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</si>
  <si>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</si>
  <si>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</si>
  <si>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</si>
  <si>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</si>
  <si>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</si>
  <si>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</si>
  <si>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</si>
  <si>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</si>
  <si>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</si>
  <si>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</si>
  <si>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</si>
  <si>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</si>
  <si>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</si>
  <si>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</si>
  <si>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</si>
  <si>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</si>
  <si>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</si>
  <si>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</si>
  <si>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</si>
  <si>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</si>
  <si>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</si>
  <si>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</si>
  <si>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</si>
  <si>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</si>
  <si>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</si>
  <si>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</si>
  <si>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</si>
  <si>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</si>
  <si>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</si>
  <si>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</si>
  <si>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</si>
  <si>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</si>
  <si>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</si>
  <si>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</si>
  <si>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</si>
  <si>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</si>
  <si>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</si>
  <si>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</si>
  <si>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</si>
  <si>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</si>
  <si>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</si>
  <si>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</si>
  <si>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</si>
  <si>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</si>
  <si>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</si>
  <si>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</si>
  <si>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</si>
  <si>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</si>
  <si>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</si>
  <si>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</si>
  <si>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</si>
  <si>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</si>
  <si>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</si>
  <si>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</si>
  <si>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</si>
  <si>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</si>
  <si>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</si>
  <si>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</si>
  <si>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</si>
  <si>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</si>
  <si>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</si>
  <si>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</si>
  <si>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</si>
  <si>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</si>
  <si>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</si>
  <si>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</si>
  <si>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</si>
  <si>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</si>
  <si>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</si>
  <si>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</si>
  <si>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</si>
  <si>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</si>
  <si>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</si>
  <si>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</si>
  <si>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</si>
  <si>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</si>
  <si>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</si>
  <si>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</si>
  <si>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</si>
  <si>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</si>
  <si>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</si>
  <si>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</si>
  <si>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</si>
  <si>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</si>
  <si>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</si>
  <si>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</si>
  <si>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</si>
  <si>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</si>
  <si>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</si>
  <si>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</si>
  <si>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</si>
  <si>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</si>
  <si>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</si>
  <si>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</si>
  <si>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</si>
  <si>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</si>
  <si>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</si>
  <si>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</si>
  <si>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</si>
  <si>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</si>
  <si>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</si>
  <si>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</si>
  <si>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</si>
  <si>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</si>
  <si>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</si>
  <si>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</si>
  <si>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</si>
  <si>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</si>
  <si>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</si>
  <si>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</si>
  <si>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</si>
  <si>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</si>
  <si>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</si>
  <si>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</si>
  <si>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</si>
  <si>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</si>
  <si>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</si>
  <si>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</si>
  <si>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</si>
  <si>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</si>
  <si>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</si>
  <si>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</si>
  <si>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</si>
  <si>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</si>
  <si>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</si>
  <si>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</si>
  <si>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</si>
  <si>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</si>
  <si>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</si>
  <si>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</si>
  <si>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</si>
  <si>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</si>
  <si>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</si>
  <si>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</si>
  <si>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</si>
  <si>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</si>
  <si>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</si>
  <si>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</si>
  <si>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</si>
  <si>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</si>
  <si>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</si>
  <si>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08/03</t>
  </si>
  <si>
    <t>08/17</t>
  </si>
  <si>
    <t>Chichester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</si>
</sst>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6" zoomScaleNormal="96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99</v>
      </c>
      <c r="C2" s="21">
        <v>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194277.35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82245.2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5698.63</v>
      </c>
      <c r="G12" s="18">
        <v>6403.51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20629.59</v>
      </c>
      <c r="G13" s="18">
        <v>1330.76</v>
      </c>
      <c r="H13" s="18">
        <v>12308.64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3910.17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2000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222605.57</v>
      </c>
      <c r="G19" s="41">
        <f>SUM(G9:G18)</f>
        <v>11644.44</v>
      </c>
      <c r="H19" s="41">
        <f>SUM(H9:H18)</f>
        <v>12308.64</v>
      </c>
      <c r="I19" s="41">
        <f>SUM(I9:I18)</f>
        <v>0</v>
      </c>
      <c r="J19" s="41">
        <f>SUM(J9:J18)</f>
        <v>82245.2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12102.14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100208.07</v>
      </c>
      <c r="G23" s="18">
        <v>1644.44</v>
      </c>
      <c r="H23" s="18">
        <v>206.5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5476.03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3447.58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109131.68000000001</v>
      </c>
      <c r="G32" s="41">
        <f>SUM(G22:G31)</f>
        <v>1644.44</v>
      </c>
      <c r="H32" s="41">
        <f>SUM(H22:H31)</f>
        <v>12308.64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1061.1400000000001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10000</v>
      </c>
      <c r="H48" s="18"/>
      <c r="I48" s="18"/>
      <c r="J48" s="13">
        <f>SUM(I459)</f>
        <v>82245.2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112412.75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113473.89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82245.2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222605.57</v>
      </c>
      <c r="G52" s="41">
        <f>G51+G32</f>
        <v>11644.44</v>
      </c>
      <c r="H52" s="41">
        <f>H51+H32</f>
        <v>12308.64</v>
      </c>
      <c r="I52" s="41">
        <f>I51+I32</f>
        <v>0</v>
      </c>
      <c r="J52" s="41">
        <f>J51+J32</f>
        <v>82245.2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4014905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4014905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105.98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49168.37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24839.01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11050.77</v>
      </c>
      <c r="G110" s="18">
        <v>1750</v>
      </c>
      <c r="H110" s="18"/>
      <c r="I110" s="18"/>
      <c r="J110" s="18">
        <v>1843.8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35889.78</v>
      </c>
      <c r="G111" s="41">
        <f>SUM(G96:G110)</f>
        <v>50918.37</v>
      </c>
      <c r="H111" s="41">
        <f>SUM(H96:H110)</f>
        <v>0</v>
      </c>
      <c r="I111" s="41">
        <f>SUM(I96:I110)</f>
        <v>0</v>
      </c>
      <c r="J111" s="41">
        <f>SUM(J96:J110)</f>
        <v>1949.78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4050794.78</v>
      </c>
      <c r="G112" s="41">
        <f>G60+G111</f>
        <v>50918.37</v>
      </c>
      <c r="H112" s="41">
        <f>H60+H79+H94+H111</f>
        <v>0</v>
      </c>
      <c r="I112" s="41">
        <f>I60+I111</f>
        <v>0</v>
      </c>
      <c r="J112" s="41">
        <f>J60+J111</f>
        <v>1949.78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823341.32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643573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1466914.3199999998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26016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67185.600000000006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1126.76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93201.600000000006</v>
      </c>
      <c r="G136" s="41">
        <f>SUM(G123:G135)</f>
        <v>1126.76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1560115.92</v>
      </c>
      <c r="G140" s="41">
        <f>G121+SUM(G136:G137)</f>
        <v>1126.76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23270.76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19430.39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27557.34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51371.519999999997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51371.519999999997</v>
      </c>
      <c r="G162" s="41">
        <f>SUM(G150:G161)</f>
        <v>27557.34</v>
      </c>
      <c r="H162" s="41">
        <f>SUM(H150:H161)</f>
        <v>42701.149999999994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51371.519999999997</v>
      </c>
      <c r="G169" s="41">
        <f>G147+G162+SUM(G163:G168)</f>
        <v>27557.34</v>
      </c>
      <c r="H169" s="41">
        <f>H147+H162+SUM(H163:H168)</f>
        <v>42701.149999999994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25043.439999999999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25043.439999999999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54400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54400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54400</v>
      </c>
      <c r="G192" s="41">
        <f>G183+SUM(G188:G191)</f>
        <v>25043.439999999999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5716682.2199999988</v>
      </c>
      <c r="G193" s="47">
        <f>G112+G140+G169+G192</f>
        <v>104645.91</v>
      </c>
      <c r="H193" s="47">
        <f>H112+H140+H169+H192</f>
        <v>42701.149999999994</v>
      </c>
      <c r="I193" s="47">
        <f>I112+I140+I169+I192</f>
        <v>0</v>
      </c>
      <c r="J193" s="47">
        <f>J112+J140+J192</f>
        <v>1949.78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1096443.0900000001</v>
      </c>
      <c r="G197" s="18">
        <v>570586.17000000004</v>
      </c>
      <c r="H197" s="18">
        <v>16376.05</v>
      </c>
      <c r="I197" s="18">
        <v>26655.93</v>
      </c>
      <c r="J197" s="18">
        <v>12946.78</v>
      </c>
      <c r="K197" s="18"/>
      <c r="L197" s="19">
        <f>SUM(F197:K197)</f>
        <v>1723008.0200000003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355014.73</v>
      </c>
      <c r="G198" s="18">
        <v>184748.75</v>
      </c>
      <c r="H198" s="18">
        <f>73618.97+99700.04</f>
        <v>173319.01</v>
      </c>
      <c r="I198" s="18">
        <v>731.1</v>
      </c>
      <c r="J198" s="18">
        <v>27</v>
      </c>
      <c r="K198" s="18">
        <v>755</v>
      </c>
      <c r="L198" s="19">
        <f>SUM(F198:K198)</f>
        <v>714595.59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24450</v>
      </c>
      <c r="G200" s="18">
        <v>12723.72</v>
      </c>
      <c r="H200" s="18">
        <v>3240</v>
      </c>
      <c r="I200" s="18">
        <v>986.61</v>
      </c>
      <c r="J200" s="18"/>
      <c r="K200" s="18">
        <v>4295</v>
      </c>
      <c r="L200" s="19">
        <f>SUM(F200:K200)</f>
        <v>45695.33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131195</v>
      </c>
      <c r="G202" s="18">
        <v>68273.539999999994</v>
      </c>
      <c r="H202" s="18">
        <f>109120.14+4613.7</f>
        <v>113733.84</v>
      </c>
      <c r="I202" s="18">
        <v>4157.13</v>
      </c>
      <c r="J202" s="18">
        <v>0</v>
      </c>
      <c r="K202" s="18">
        <v>1478.5</v>
      </c>
      <c r="L202" s="19">
        <f t="shared" ref="L202:L208" si="0">SUM(F202:K202)</f>
        <v>318838.01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101782.88</v>
      </c>
      <c r="G203" s="18">
        <v>52967.55</v>
      </c>
      <c r="H203" s="18">
        <v>10361.32</v>
      </c>
      <c r="I203" s="18">
        <v>1878.78</v>
      </c>
      <c r="J203" s="18">
        <v>0</v>
      </c>
      <c r="K203" s="18">
        <v>0</v>
      </c>
      <c r="L203" s="19">
        <f t="shared" si="0"/>
        <v>166990.53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4183.75</v>
      </c>
      <c r="G204" s="18">
        <v>2177.21</v>
      </c>
      <c r="H204" s="18">
        <v>177246.28</v>
      </c>
      <c r="I204" s="18">
        <v>148</v>
      </c>
      <c r="J204" s="18">
        <v>0</v>
      </c>
      <c r="K204" s="18">
        <v>3295.99</v>
      </c>
      <c r="L204" s="19">
        <f t="shared" si="0"/>
        <v>187051.22999999998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112980.29</v>
      </c>
      <c r="G205" s="18">
        <v>58794.65</v>
      </c>
      <c r="H205" s="18">
        <v>13467.93</v>
      </c>
      <c r="I205" s="18">
        <v>228.01</v>
      </c>
      <c r="J205" s="18">
        <v>4600</v>
      </c>
      <c r="K205" s="18">
        <v>674.58</v>
      </c>
      <c r="L205" s="19">
        <f t="shared" si="0"/>
        <v>190745.46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87812.49</v>
      </c>
      <c r="G207" s="18">
        <v>45697.38</v>
      </c>
      <c r="H207" s="18">
        <v>93291.36</v>
      </c>
      <c r="I207" s="18">
        <v>59104.65</v>
      </c>
      <c r="J207" s="18">
        <v>110795.37</v>
      </c>
      <c r="K207" s="18"/>
      <c r="L207" s="19">
        <f t="shared" si="0"/>
        <v>396701.25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294419.09999999998</v>
      </c>
      <c r="I208" s="18"/>
      <c r="J208" s="18"/>
      <c r="K208" s="18"/>
      <c r="L208" s="19">
        <f t="shared" si="0"/>
        <v>294419.09999999998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1913862.2300000002</v>
      </c>
      <c r="G211" s="41">
        <f t="shared" si="1"/>
        <v>995968.97000000009</v>
      </c>
      <c r="H211" s="41">
        <f t="shared" si="1"/>
        <v>895454.89</v>
      </c>
      <c r="I211" s="41">
        <f t="shared" si="1"/>
        <v>93890.21</v>
      </c>
      <c r="J211" s="41">
        <f t="shared" si="1"/>
        <v>128369.15</v>
      </c>
      <c r="K211" s="41">
        <f t="shared" si="1"/>
        <v>10499.07</v>
      </c>
      <c r="L211" s="41">
        <f t="shared" si="1"/>
        <v>4038044.52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1277251.4099999999</v>
      </c>
      <c r="I233" s="18"/>
      <c r="J233" s="18"/>
      <c r="K233" s="18"/>
      <c r="L233" s="19">
        <f>SUM(F233:K233)</f>
        <v>1277251.4099999999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246094.47</v>
      </c>
      <c r="I234" s="18"/>
      <c r="J234" s="18"/>
      <c r="K234" s="18"/>
      <c r="L234" s="19">
        <f>SUM(F234:K234)</f>
        <v>246094.47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25460.34</v>
      </c>
      <c r="I238" s="18"/>
      <c r="J238" s="18"/>
      <c r="K238" s="18"/>
      <c r="L238" s="19">
        <f t="shared" ref="L238:L244" si="4">SUM(F238:K238)</f>
        <v>25460.34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46110</v>
      </c>
      <c r="I244" s="18"/>
      <c r="J244" s="18"/>
      <c r="K244" s="18"/>
      <c r="L244" s="19">
        <f t="shared" si="4"/>
        <v>46110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1594916.22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1594916.22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1913862.2300000002</v>
      </c>
      <c r="G257" s="41">
        <f t="shared" si="8"/>
        <v>995968.97000000009</v>
      </c>
      <c r="H257" s="41">
        <f t="shared" si="8"/>
        <v>2490371.11</v>
      </c>
      <c r="I257" s="41">
        <f t="shared" si="8"/>
        <v>93890.21</v>
      </c>
      <c r="J257" s="41">
        <f t="shared" si="8"/>
        <v>128369.15</v>
      </c>
      <c r="K257" s="41">
        <f t="shared" si="8"/>
        <v>10499.07</v>
      </c>
      <c r="L257" s="41">
        <f t="shared" si="8"/>
        <v>5632960.7400000002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105000</v>
      </c>
      <c r="L260" s="19">
        <f>SUM(F260:K260)</f>
        <v>105000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8448.5</v>
      </c>
      <c r="L261" s="19">
        <f>SUM(F261:K261)</f>
        <v>8448.5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25043.439999999999</v>
      </c>
      <c r="L263" s="19">
        <f>SUM(F263:K263)</f>
        <v>25043.439999999999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9447.4</v>
      </c>
      <c r="L268" s="19">
        <f t="shared" si="9"/>
        <v>9447.4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147939.34</v>
      </c>
      <c r="L270" s="41">
        <f t="shared" si="9"/>
        <v>147939.34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1913862.2300000002</v>
      </c>
      <c r="G271" s="42">
        <f t="shared" si="11"/>
        <v>995968.97000000009</v>
      </c>
      <c r="H271" s="42">
        <f t="shared" si="11"/>
        <v>2490371.11</v>
      </c>
      <c r="I271" s="42">
        <f t="shared" si="11"/>
        <v>93890.21</v>
      </c>
      <c r="J271" s="42">
        <f t="shared" si="11"/>
        <v>128369.15</v>
      </c>
      <c r="K271" s="42">
        <f t="shared" si="11"/>
        <v>158438.41</v>
      </c>
      <c r="L271" s="42">
        <f t="shared" si="11"/>
        <v>5780900.0800000001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25061.39</v>
      </c>
      <c r="G276" s="18">
        <v>2400.71</v>
      </c>
      <c r="H276" s="18">
        <v>0</v>
      </c>
      <c r="I276" s="18">
        <v>3827.37</v>
      </c>
      <c r="J276" s="18">
        <v>5239</v>
      </c>
      <c r="K276" s="18"/>
      <c r="L276" s="19">
        <f>SUM(F276:K276)</f>
        <v>36528.47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5275</v>
      </c>
      <c r="I282" s="18"/>
      <c r="J282" s="18"/>
      <c r="K282" s="18"/>
      <c r="L282" s="19">
        <f t="shared" si="12"/>
        <v>5275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897.68</v>
      </c>
      <c r="L283" s="19">
        <f t="shared" si="12"/>
        <v>897.68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25061.39</v>
      </c>
      <c r="G290" s="42">
        <f t="shared" si="13"/>
        <v>2400.71</v>
      </c>
      <c r="H290" s="42">
        <f t="shared" si="13"/>
        <v>5275</v>
      </c>
      <c r="I290" s="42">
        <f t="shared" si="13"/>
        <v>3827.37</v>
      </c>
      <c r="J290" s="42">
        <f t="shared" si="13"/>
        <v>5239</v>
      </c>
      <c r="K290" s="42">
        <f t="shared" si="13"/>
        <v>897.68</v>
      </c>
      <c r="L290" s="41">
        <f t="shared" si="13"/>
        <v>42701.15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25061.39</v>
      </c>
      <c r="G338" s="41">
        <f t="shared" si="20"/>
        <v>2400.71</v>
      </c>
      <c r="H338" s="41">
        <f t="shared" si="20"/>
        <v>5275</v>
      </c>
      <c r="I338" s="41">
        <f t="shared" si="20"/>
        <v>3827.37</v>
      </c>
      <c r="J338" s="41">
        <f t="shared" si="20"/>
        <v>5239</v>
      </c>
      <c r="K338" s="41">
        <f t="shared" si="20"/>
        <v>897.68</v>
      </c>
      <c r="L338" s="41">
        <f t="shared" si="20"/>
        <v>42701.15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25061.39</v>
      </c>
      <c r="G352" s="41">
        <f>G338</f>
        <v>2400.71</v>
      </c>
      <c r="H352" s="41">
        <f>H338</f>
        <v>5275</v>
      </c>
      <c r="I352" s="41">
        <f>I338</f>
        <v>3827.37</v>
      </c>
      <c r="J352" s="41">
        <f>J338</f>
        <v>5239</v>
      </c>
      <c r="K352" s="47">
        <f>K338+K351</f>
        <v>897.68</v>
      </c>
      <c r="L352" s="41">
        <f>L338+L351</f>
        <v>42701.15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53955.8</v>
      </c>
      <c r="G358" s="18">
        <v>10704.91</v>
      </c>
      <c r="H358" s="18">
        <v>3227.94</v>
      </c>
      <c r="I358" s="18">
        <v>35431.56</v>
      </c>
      <c r="J358" s="18">
        <v>875.7</v>
      </c>
      <c r="K358" s="18">
        <v>450</v>
      </c>
      <c r="L358" s="13">
        <f>SUM(F358:K358)</f>
        <v>104645.91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53955.8</v>
      </c>
      <c r="G362" s="47">
        <f t="shared" si="22"/>
        <v>10704.91</v>
      </c>
      <c r="H362" s="47">
        <f t="shared" si="22"/>
        <v>3227.94</v>
      </c>
      <c r="I362" s="47">
        <f t="shared" si="22"/>
        <v>35431.56</v>
      </c>
      <c r="J362" s="47">
        <f t="shared" si="22"/>
        <v>875.7</v>
      </c>
      <c r="K362" s="47">
        <f t="shared" si="22"/>
        <v>450</v>
      </c>
      <c r="L362" s="47">
        <f t="shared" si="22"/>
        <v>104645.91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33005.43</v>
      </c>
      <c r="G367" s="18"/>
      <c r="H367" s="18"/>
      <c r="I367" s="56">
        <f>SUM(F367:H367)</f>
        <v>33005.43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2426.13</v>
      </c>
      <c r="G368" s="63"/>
      <c r="H368" s="63"/>
      <c r="I368" s="56">
        <f>SUM(F368:H368)</f>
        <v>2426.13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35431.56</v>
      </c>
      <c r="G369" s="47">
        <f>SUM(G367:G368)</f>
        <v>0</v>
      </c>
      <c r="H369" s="47">
        <f>SUM(H367:H368)</f>
        <v>0</v>
      </c>
      <c r="I369" s="47">
        <f>SUM(I367:I368)</f>
        <v>35431.56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72.66</v>
      </c>
      <c r="I396" s="18">
        <v>1064.42</v>
      </c>
      <c r="J396" s="24" t="s">
        <v>289</v>
      </c>
      <c r="K396" s="24" t="s">
        <v>289</v>
      </c>
      <c r="L396" s="56">
        <f t="shared" si="26"/>
        <v>1137.0800000000002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13.87</v>
      </c>
      <c r="I397" s="18">
        <v>324.58999999999997</v>
      </c>
      <c r="J397" s="24" t="s">
        <v>289</v>
      </c>
      <c r="K397" s="24" t="s">
        <v>289</v>
      </c>
      <c r="L397" s="56">
        <f t="shared" si="26"/>
        <v>338.46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19.45</v>
      </c>
      <c r="I399" s="18">
        <v>454.79</v>
      </c>
      <c r="J399" s="24" t="s">
        <v>289</v>
      </c>
      <c r="K399" s="24" t="s">
        <v>289</v>
      </c>
      <c r="L399" s="56">
        <f t="shared" si="26"/>
        <v>474.24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105.98</v>
      </c>
      <c r="I401" s="47">
        <f>SUM(I395:I400)</f>
        <v>1843.8</v>
      </c>
      <c r="J401" s="45" t="s">
        <v>289</v>
      </c>
      <c r="K401" s="45" t="s">
        <v>289</v>
      </c>
      <c r="L401" s="47">
        <f>SUM(L395:L400)</f>
        <v>1949.7800000000002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105.98</v>
      </c>
      <c r="I408" s="47">
        <f>I393+I401+I407</f>
        <v>1843.8</v>
      </c>
      <c r="J408" s="24" t="s">
        <v>289</v>
      </c>
      <c r="K408" s="24" t="s">
        <v>289</v>
      </c>
      <c r="L408" s="47">
        <f>L393+L401+L407</f>
        <v>1949.7800000000002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82245.2</v>
      </c>
      <c r="H440" s="18"/>
      <c r="I440" s="56">
        <f t="shared" si="33"/>
        <v>82245.2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82245.2</v>
      </c>
      <c r="H446" s="13">
        <f>SUM(H439:H445)</f>
        <v>0</v>
      </c>
      <c r="I446" s="13">
        <f>SUM(I439:I445)</f>
        <v>82245.2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82245.2</v>
      </c>
      <c r="H459" s="18"/>
      <c r="I459" s="56">
        <f t="shared" si="34"/>
        <v>82245.2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82245.2</v>
      </c>
      <c r="H460" s="83">
        <f>SUM(H454:H459)</f>
        <v>0</v>
      </c>
      <c r="I460" s="83">
        <f>SUM(I454:I459)</f>
        <v>82245.2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82245.2</v>
      </c>
      <c r="H461" s="42">
        <f>H452+H460</f>
        <v>0</v>
      </c>
      <c r="I461" s="42">
        <f>I452+I460</f>
        <v>82245.2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177691.75</v>
      </c>
      <c r="G465" s="18">
        <v>10000</v>
      </c>
      <c r="H465" s="18"/>
      <c r="I465" s="18"/>
      <c r="J465" s="18">
        <v>80295.42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5716682.22</f>
        <v>5716682.2199999997</v>
      </c>
      <c r="G468" s="18">
        <v>104645.91</v>
      </c>
      <c r="H468" s="18">
        <v>42701.15</v>
      </c>
      <c r="I468" s="18"/>
      <c r="J468" s="18">
        <v>1949.78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5716682.2199999997</v>
      </c>
      <c r="G470" s="53">
        <f>SUM(G468:G469)</f>
        <v>104645.91</v>
      </c>
      <c r="H470" s="53">
        <f>SUM(H468:H469)</f>
        <v>42701.15</v>
      </c>
      <c r="I470" s="53">
        <f>SUM(I468:I469)</f>
        <v>0</v>
      </c>
      <c r="J470" s="53">
        <f>SUM(J468:J469)</f>
        <v>1949.78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5780900.0800000001</v>
      </c>
      <c r="G472" s="18">
        <v>104645.91</v>
      </c>
      <c r="H472" s="18">
        <v>42701.15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5780900.0800000001</v>
      </c>
      <c r="G474" s="53">
        <f>SUM(G472:G473)</f>
        <v>104645.91</v>
      </c>
      <c r="H474" s="53">
        <f>SUM(H472:H473)</f>
        <v>42701.15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113473.88999999966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82245.2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315000</v>
      </c>
      <c r="G495" s="18"/>
      <c r="H495" s="18"/>
      <c r="I495" s="18"/>
      <c r="J495" s="18"/>
      <c r="K495" s="53">
        <f>SUM(F495:J495)</f>
        <v>315000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105000</v>
      </c>
      <c r="G497" s="18"/>
      <c r="H497" s="18"/>
      <c r="I497" s="18"/>
      <c r="J497" s="18"/>
      <c r="K497" s="53">
        <f t="shared" si="35"/>
        <v>105000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210000</v>
      </c>
      <c r="G498" s="204"/>
      <c r="H498" s="204"/>
      <c r="I498" s="204"/>
      <c r="J498" s="204"/>
      <c r="K498" s="205">
        <f t="shared" si="35"/>
        <v>210000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9397.5</v>
      </c>
      <c r="G499" s="18"/>
      <c r="H499" s="18"/>
      <c r="I499" s="18"/>
      <c r="J499" s="18"/>
      <c r="K499" s="53">
        <f t="shared" si="35"/>
        <v>9397.5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219397.5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219397.5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105000</v>
      </c>
      <c r="G501" s="204"/>
      <c r="H501" s="204"/>
      <c r="I501" s="204"/>
      <c r="J501" s="204"/>
      <c r="K501" s="205">
        <f t="shared" si="35"/>
        <v>105000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7035</v>
      </c>
      <c r="G502" s="18"/>
      <c r="H502" s="18"/>
      <c r="I502" s="18"/>
      <c r="J502" s="18"/>
      <c r="K502" s="53">
        <f t="shared" si="35"/>
        <v>7035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112035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112035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355015</v>
      </c>
      <c r="G521" s="18">
        <v>184748.93</v>
      </c>
      <c r="H521" s="18">
        <v>173319.01</v>
      </c>
      <c r="I521" s="18">
        <v>731.1</v>
      </c>
      <c r="J521" s="18">
        <v>27</v>
      </c>
      <c r="K521" s="18">
        <v>755</v>
      </c>
      <c r="L521" s="88">
        <f>SUM(F521:K521)</f>
        <v>714596.03999999992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/>
      <c r="H523" s="18">
        <v>246094.47</v>
      </c>
      <c r="I523" s="18"/>
      <c r="J523" s="18"/>
      <c r="K523" s="18"/>
      <c r="L523" s="88">
        <f>SUM(F523:K523)</f>
        <v>246094.47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355015</v>
      </c>
      <c r="G524" s="108">
        <f t="shared" ref="G524:L524" si="36">SUM(G521:G523)</f>
        <v>184748.93</v>
      </c>
      <c r="H524" s="108">
        <f t="shared" si="36"/>
        <v>419413.48</v>
      </c>
      <c r="I524" s="108">
        <f t="shared" si="36"/>
        <v>731.1</v>
      </c>
      <c r="J524" s="108">
        <f t="shared" si="36"/>
        <v>27</v>
      </c>
      <c r="K524" s="108">
        <f t="shared" si="36"/>
        <v>755</v>
      </c>
      <c r="L524" s="89">
        <f t="shared" si="36"/>
        <v>960690.50999999989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113733.84</v>
      </c>
      <c r="I526" s="18"/>
      <c r="J526" s="18"/>
      <c r="K526" s="18"/>
      <c r="L526" s="88">
        <f>SUM(F526:K526)</f>
        <v>113733.84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25460.34</v>
      </c>
      <c r="I528" s="18"/>
      <c r="J528" s="18"/>
      <c r="K528" s="18"/>
      <c r="L528" s="88">
        <f>SUM(F528:K528)</f>
        <v>25460.34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139194.18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139194.18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8002.76</v>
      </c>
      <c r="G531" s="18">
        <v>4295.41</v>
      </c>
      <c r="H531" s="18"/>
      <c r="I531" s="18"/>
      <c r="J531" s="18"/>
      <c r="K531" s="18"/>
      <c r="L531" s="88">
        <f>SUM(F531:K531)</f>
        <v>12298.17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2000.69</v>
      </c>
      <c r="G533" s="18">
        <v>1073.8499999999999</v>
      </c>
      <c r="H533" s="18"/>
      <c r="I533" s="18"/>
      <c r="J533" s="18"/>
      <c r="K533" s="18"/>
      <c r="L533" s="88">
        <f>SUM(F533:K533)</f>
        <v>3074.54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10003.450000000001</v>
      </c>
      <c r="G534" s="89">
        <f t="shared" ref="G534:L534" si="38">SUM(G531:G533)</f>
        <v>5369.26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15372.71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110826.58</v>
      </c>
      <c r="I541" s="18"/>
      <c r="J541" s="18"/>
      <c r="K541" s="18"/>
      <c r="L541" s="88">
        <f>SUM(F541:K541)</f>
        <v>110826.58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110826.58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110826.58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365018.45</v>
      </c>
      <c r="G545" s="89">
        <f t="shared" ref="G545:L545" si="41">G524+G529+G534+G539+G544</f>
        <v>190118.19</v>
      </c>
      <c r="H545" s="89">
        <f t="shared" si="41"/>
        <v>669434.23999999987</v>
      </c>
      <c r="I545" s="89">
        <f t="shared" si="41"/>
        <v>731.1</v>
      </c>
      <c r="J545" s="89">
        <f t="shared" si="41"/>
        <v>27</v>
      </c>
      <c r="K545" s="89">
        <f t="shared" si="41"/>
        <v>755</v>
      </c>
      <c r="L545" s="89">
        <f t="shared" si="41"/>
        <v>1226083.98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714596.03999999992</v>
      </c>
      <c r="G549" s="87">
        <f>L526</f>
        <v>113733.84</v>
      </c>
      <c r="H549" s="87">
        <f>L531</f>
        <v>12298.17</v>
      </c>
      <c r="I549" s="87">
        <f>L536</f>
        <v>0</v>
      </c>
      <c r="J549" s="87">
        <f>L541</f>
        <v>110826.58</v>
      </c>
      <c r="K549" s="87">
        <f>SUM(F549:J549)</f>
        <v>951454.62999999989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246094.47</v>
      </c>
      <c r="G551" s="87">
        <f>L528</f>
        <v>25460.34</v>
      </c>
      <c r="H551" s="87">
        <f>L533</f>
        <v>3074.54</v>
      </c>
      <c r="I551" s="87">
        <f>L538</f>
        <v>0</v>
      </c>
      <c r="J551" s="87">
        <f>L543</f>
        <v>0</v>
      </c>
      <c r="K551" s="87">
        <f>SUM(F551:J551)</f>
        <v>274629.34999999998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960690.50999999989</v>
      </c>
      <c r="G552" s="89">
        <f t="shared" si="42"/>
        <v>139194.18</v>
      </c>
      <c r="H552" s="89">
        <f t="shared" si="42"/>
        <v>15372.71</v>
      </c>
      <c r="I552" s="89">
        <f t="shared" si="42"/>
        <v>0</v>
      </c>
      <c r="J552" s="89">
        <f t="shared" si="42"/>
        <v>110826.58</v>
      </c>
      <c r="K552" s="89">
        <f t="shared" si="42"/>
        <v>1226083.98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1277251.4099999999</v>
      </c>
      <c r="I575" s="87">
        <f>SUM(F575:H575)</f>
        <v>1277251.4099999999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 t="s">
        <v>287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96656.33</v>
      </c>
      <c r="G579" s="18"/>
      <c r="H579" s="18">
        <v>168337.34</v>
      </c>
      <c r="I579" s="87">
        <f t="shared" si="47"/>
        <v>264993.67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216</v>
      </c>
      <c r="I580" s="87">
        <f t="shared" si="47"/>
        <v>216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77541.84</v>
      </c>
      <c r="I581" s="87">
        <f t="shared" si="47"/>
        <v>77541.84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2594</v>
      </c>
      <c r="G582" s="18"/>
      <c r="H582" s="18"/>
      <c r="I582" s="87">
        <f t="shared" si="47"/>
        <v>2594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178506</v>
      </c>
      <c r="I591" s="18"/>
      <c r="J591" s="18">
        <v>46110</v>
      </c>
      <c r="K591" s="104">
        <f t="shared" ref="K591:K597" si="48">SUM(H591:J591)</f>
        <v>224616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110826.58</v>
      </c>
      <c r="I592" s="18"/>
      <c r="J592" s="18"/>
      <c r="K592" s="104">
        <f t="shared" si="48"/>
        <v>110826.58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3349.52</v>
      </c>
      <c r="I594" s="18"/>
      <c r="J594" s="18"/>
      <c r="K594" s="104">
        <f t="shared" si="48"/>
        <v>3349.52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1737</v>
      </c>
      <c r="I595" s="18"/>
      <c r="J595" s="18"/>
      <c r="K595" s="104">
        <f t="shared" si="48"/>
        <v>1737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294419.10000000003</v>
      </c>
      <c r="I598" s="108">
        <f>SUM(I591:I597)</f>
        <v>0</v>
      </c>
      <c r="J598" s="108">
        <f>SUM(J591:J597)</f>
        <v>46110</v>
      </c>
      <c r="K598" s="108">
        <f>SUM(K591:K597)</f>
        <v>340529.10000000003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133608.15</v>
      </c>
      <c r="I604" s="18"/>
      <c r="J604" s="18"/>
      <c r="K604" s="104">
        <f>SUM(H604:J604)</f>
        <v>133608.15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133608.15</v>
      </c>
      <c r="I605" s="108">
        <f>SUM(I602:I604)</f>
        <v>0</v>
      </c>
      <c r="J605" s="108">
        <f>SUM(J602:J604)</f>
        <v>0</v>
      </c>
      <c r="K605" s="108">
        <f>SUM(K602:K604)</f>
        <v>133608.15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222605.57</v>
      </c>
      <c r="H617" s="109">
        <f>SUM(F52)</f>
        <v>222605.57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11644.44</v>
      </c>
      <c r="H618" s="109">
        <f>SUM(G52)</f>
        <v>11644.44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12308.64</v>
      </c>
      <c r="H619" s="109">
        <f>SUM(H52)</f>
        <v>12308.64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82245.2</v>
      </c>
      <c r="H621" s="109">
        <f>SUM(J52)</f>
        <v>82245.2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113473.89</v>
      </c>
      <c r="H622" s="109">
        <f>F476</f>
        <v>113473.88999999966</v>
      </c>
      <c r="I622" s="121" t="s">
        <v>101</v>
      </c>
      <c r="J622" s="109">
        <f t="shared" ref="J622:J655" si="50">G622-H622</f>
        <v>3.3469405025243759E-10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82245.2</v>
      </c>
      <c r="H626" s="109">
        <f>J476</f>
        <v>82245.2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5716682.2199999988</v>
      </c>
      <c r="H627" s="104">
        <f>SUM(F468)</f>
        <v>5716682.2199999997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104645.91</v>
      </c>
      <c r="H628" s="104">
        <f>SUM(G468)</f>
        <v>104645.91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42701.149999999994</v>
      </c>
      <c r="H629" s="104">
        <f>SUM(H468)</f>
        <v>42701.15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1949.78</v>
      </c>
      <c r="H631" s="104">
        <f>SUM(J468)</f>
        <v>1949.78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5780900.0800000001</v>
      </c>
      <c r="H632" s="104">
        <f>SUM(F472)</f>
        <v>5780900.0800000001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42701.15</v>
      </c>
      <c r="H633" s="104">
        <f>SUM(H472)</f>
        <v>42701.15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35431.56</v>
      </c>
      <c r="H634" s="104">
        <f>I369</f>
        <v>35431.56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104645.91</v>
      </c>
      <c r="H635" s="104">
        <f>SUM(G472)</f>
        <v>104645.91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1949.7800000000002</v>
      </c>
      <c r="H637" s="164">
        <f>SUM(J468)</f>
        <v>1949.78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82245.2</v>
      </c>
      <c r="H640" s="104">
        <f>SUM(G461)</f>
        <v>82245.2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82245.2</v>
      </c>
      <c r="H642" s="104">
        <f>SUM(I461)</f>
        <v>82245.2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105.98</v>
      </c>
      <c r="H644" s="104">
        <f>H408</f>
        <v>105.98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1949.78</v>
      </c>
      <c r="H646" s="104">
        <f>L408</f>
        <v>1949.7800000000002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340529.10000000003</v>
      </c>
      <c r="H647" s="104">
        <f>L208+L226+L244</f>
        <v>340529.1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133608.15</v>
      </c>
      <c r="H648" s="104">
        <f>(J257+J338)-(J255+J336)</f>
        <v>133608.15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294419.09999999998</v>
      </c>
      <c r="H649" s="104">
        <f>H598</f>
        <v>294419.10000000003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46110</v>
      </c>
      <c r="H651" s="104">
        <f>J598</f>
        <v>46110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25043.439999999999</v>
      </c>
      <c r="H652" s="104">
        <f>K263+K345</f>
        <v>25043.439999999999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4185391.58</v>
      </c>
      <c r="G660" s="19">
        <f>(L229+L309+L359)</f>
        <v>0</v>
      </c>
      <c r="H660" s="19">
        <f>(L247+L328+L360)</f>
        <v>1594916.22</v>
      </c>
      <c r="I660" s="19">
        <f>SUM(F660:H660)</f>
        <v>5780307.7999999998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50918.37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50918.37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294419.09999999998</v>
      </c>
      <c r="G662" s="19">
        <f>(L226+L306)-(J226+J306)</f>
        <v>0</v>
      </c>
      <c r="H662" s="19">
        <f>(L244+L325)-(J244+J325)</f>
        <v>46110</v>
      </c>
      <c r="I662" s="19">
        <f>SUM(F662:H662)</f>
        <v>340529.1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232858.47999999998</v>
      </c>
      <c r="G663" s="199">
        <f>SUM(G575:G587)+SUM(I602:I604)+L612</f>
        <v>0</v>
      </c>
      <c r="H663" s="199">
        <f>SUM(H575:H587)+SUM(J602:J604)+L613</f>
        <v>1523346.59</v>
      </c>
      <c r="I663" s="19">
        <f>SUM(F663:H663)</f>
        <v>1756205.07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3607195.63</v>
      </c>
      <c r="G664" s="19">
        <f>G660-SUM(G661:G663)</f>
        <v>0</v>
      </c>
      <c r="H664" s="19">
        <f>H660-SUM(H661:H663)</f>
        <v>25459.629999999888</v>
      </c>
      <c r="I664" s="19">
        <f>I660-SUM(I661:I663)</f>
        <v>3632655.26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213.75</v>
      </c>
      <c r="G665" s="248"/>
      <c r="H665" s="248"/>
      <c r="I665" s="19">
        <f>SUM(F665:H665)</f>
        <v>213.75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16875.77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16994.88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-25459.63</v>
      </c>
      <c r="I669" s="19">
        <f>SUM(F669:H669)</f>
        <v>-25459.63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16875.77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16875.77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2" sqref="B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Chichester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1121504.48</v>
      </c>
      <c r="C9" s="229">
        <f>'DOE25'!G197+'DOE25'!G215+'DOE25'!G233+'DOE25'!G276+'DOE25'!G295+'DOE25'!G314</f>
        <v>572986.88</v>
      </c>
    </row>
    <row r="10" spans="1:3" x14ac:dyDescent="0.2">
      <c r="A10" t="s">
        <v>779</v>
      </c>
      <c r="B10" s="240">
        <f>1044296.8+25061.39</f>
        <v>1069358.19</v>
      </c>
      <c r="C10" s="240">
        <v>546344.86</v>
      </c>
    </row>
    <row r="11" spans="1:3" x14ac:dyDescent="0.2">
      <c r="A11" t="s">
        <v>780</v>
      </c>
      <c r="B11" s="240">
        <v>26561.26</v>
      </c>
      <c r="C11" s="240">
        <v>13570.39</v>
      </c>
    </row>
    <row r="12" spans="1:3" x14ac:dyDescent="0.2">
      <c r="A12" t="s">
        <v>781</v>
      </c>
      <c r="B12" s="240">
        <v>25585.03</v>
      </c>
      <c r="C12" s="240">
        <v>13071.63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1121504.48</v>
      </c>
      <c r="C13" s="231">
        <f>SUM(C10:C12)</f>
        <v>572986.88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355014.73</v>
      </c>
      <c r="C18" s="229">
        <f>'DOE25'!G198+'DOE25'!G216+'DOE25'!G234+'DOE25'!G277+'DOE25'!G296+'DOE25'!G315</f>
        <v>184748.75</v>
      </c>
    </row>
    <row r="19" spans="1:3" x14ac:dyDescent="0.2">
      <c r="A19" t="s">
        <v>779</v>
      </c>
      <c r="B19" s="240">
        <v>219701</v>
      </c>
      <c r="C19" s="240">
        <v>114331.83</v>
      </c>
    </row>
    <row r="20" spans="1:3" x14ac:dyDescent="0.2">
      <c r="A20" t="s">
        <v>780</v>
      </c>
      <c r="B20" s="240">
        <v>126123.83</v>
      </c>
      <c r="C20" s="240">
        <v>65634.52</v>
      </c>
    </row>
    <row r="21" spans="1:3" x14ac:dyDescent="0.2">
      <c r="A21" t="s">
        <v>781</v>
      </c>
      <c r="B21" s="240">
        <v>9189.9</v>
      </c>
      <c r="C21" s="240">
        <v>4782.3999999999996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355014.73000000004</v>
      </c>
      <c r="C22" s="231">
        <f>SUM(C19:C21)</f>
        <v>184748.75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24450</v>
      </c>
      <c r="C36" s="235">
        <f>'DOE25'!G200+'DOE25'!G218+'DOE25'!G236+'DOE25'!G279+'DOE25'!G298+'DOE25'!G317</f>
        <v>12723.72</v>
      </c>
    </row>
    <row r="37" spans="1:3" x14ac:dyDescent="0.2">
      <c r="A37" t="s">
        <v>779</v>
      </c>
      <c r="B37" s="240">
        <v>24450</v>
      </c>
      <c r="C37" s="240">
        <v>12723.72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24450</v>
      </c>
      <c r="C40" s="231">
        <f>SUM(C37:C39)</f>
        <v>12723.72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4" activePane="bottomLeft" state="frozen"/>
      <selection activeCell="B4" sqref="B4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Chichester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4006644.8200000003</v>
      </c>
      <c r="D5" s="20">
        <f>SUM('DOE25'!L197:L200)+SUM('DOE25'!L215:L218)+SUM('DOE25'!L233:L236)-F5-G5</f>
        <v>3988621.0400000005</v>
      </c>
      <c r="E5" s="243"/>
      <c r="F5" s="255">
        <f>SUM('DOE25'!J197:J200)+SUM('DOE25'!J215:J218)+SUM('DOE25'!J233:J236)</f>
        <v>12973.78</v>
      </c>
      <c r="G5" s="53">
        <f>SUM('DOE25'!K197:K200)+SUM('DOE25'!K215:K218)+SUM('DOE25'!K233:K236)</f>
        <v>5050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344298.35000000003</v>
      </c>
      <c r="D6" s="20">
        <f>'DOE25'!L202+'DOE25'!L220+'DOE25'!L238-F6-G6</f>
        <v>342819.85000000003</v>
      </c>
      <c r="E6" s="243"/>
      <c r="F6" s="255">
        <f>'DOE25'!J202+'DOE25'!J220+'DOE25'!J238</f>
        <v>0</v>
      </c>
      <c r="G6" s="53">
        <f>'DOE25'!K202+'DOE25'!K220+'DOE25'!K238</f>
        <v>1478.5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166990.53</v>
      </c>
      <c r="D7" s="20">
        <f>'DOE25'!L203+'DOE25'!L221+'DOE25'!L239-F7-G7</f>
        <v>166990.53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136936.72999999998</v>
      </c>
      <c r="D8" s="243"/>
      <c r="E8" s="20">
        <f>'DOE25'!L204+'DOE25'!L222+'DOE25'!L240-F8-G8-D9-D11</f>
        <v>133640.74</v>
      </c>
      <c r="F8" s="255">
        <f>'DOE25'!J204+'DOE25'!J222+'DOE25'!J240</f>
        <v>0</v>
      </c>
      <c r="G8" s="53">
        <f>'DOE25'!K204+'DOE25'!K222+'DOE25'!K240</f>
        <v>3295.99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4182.75</v>
      </c>
      <c r="D9" s="244">
        <v>4182.75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6048</v>
      </c>
      <c r="D10" s="243"/>
      <c r="E10" s="244">
        <v>6048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45931.75</v>
      </c>
      <c r="D11" s="244">
        <v>45931.75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190745.46</v>
      </c>
      <c r="D12" s="20">
        <f>'DOE25'!L205+'DOE25'!L223+'DOE25'!L241-F12-G12</f>
        <v>185470.88</v>
      </c>
      <c r="E12" s="243"/>
      <c r="F12" s="255">
        <f>'DOE25'!J205+'DOE25'!J223+'DOE25'!J241</f>
        <v>4600</v>
      </c>
      <c r="G12" s="53">
        <f>'DOE25'!K205+'DOE25'!K223+'DOE25'!K241</f>
        <v>674.58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396701.25</v>
      </c>
      <c r="D14" s="20">
        <f>'DOE25'!L207+'DOE25'!L225+'DOE25'!L243-F14-G14</f>
        <v>285905.88</v>
      </c>
      <c r="E14" s="243"/>
      <c r="F14" s="255">
        <f>'DOE25'!J207+'DOE25'!J225+'DOE25'!J243</f>
        <v>110795.37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340529.1</v>
      </c>
      <c r="D15" s="20">
        <f>'DOE25'!L208+'DOE25'!L226+'DOE25'!L244-F15-G15</f>
        <v>340529.1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113448.5</v>
      </c>
      <c r="D25" s="243"/>
      <c r="E25" s="243"/>
      <c r="F25" s="258"/>
      <c r="G25" s="256"/>
      <c r="H25" s="257">
        <f>'DOE25'!L260+'DOE25'!L261+'DOE25'!L341+'DOE25'!L342</f>
        <v>113448.5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71640.48000000001</v>
      </c>
      <c r="D29" s="20">
        <f>'DOE25'!L358+'DOE25'!L359+'DOE25'!L360-'DOE25'!I367-F29-G29</f>
        <v>70314.780000000013</v>
      </c>
      <c r="E29" s="243"/>
      <c r="F29" s="255">
        <f>'DOE25'!J358+'DOE25'!J359+'DOE25'!J360</f>
        <v>875.7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42701.15</v>
      </c>
      <c r="D31" s="20">
        <f>'DOE25'!L290+'DOE25'!L309+'DOE25'!L328+'DOE25'!L333+'DOE25'!L334+'DOE25'!L335-F31-G31</f>
        <v>36564.47</v>
      </c>
      <c r="E31" s="243"/>
      <c r="F31" s="255">
        <f>'DOE25'!J290+'DOE25'!J309+'DOE25'!J328+'DOE25'!J333+'DOE25'!J334+'DOE25'!J335</f>
        <v>5239</v>
      </c>
      <c r="G31" s="53">
        <f>'DOE25'!K290+'DOE25'!K309+'DOE25'!K328+'DOE25'!K333+'DOE25'!K334+'DOE25'!K335</f>
        <v>897.68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5467331.0300000003</v>
      </c>
      <c r="E33" s="246">
        <f>SUM(E5:E31)</f>
        <v>139688.74</v>
      </c>
      <c r="F33" s="246">
        <f>SUM(F5:F31)</f>
        <v>134483.84999999998</v>
      </c>
      <c r="G33" s="246">
        <f>SUM(G5:G31)</f>
        <v>11846.75</v>
      </c>
      <c r="H33" s="246">
        <f>SUM(H5:H31)</f>
        <v>113448.5</v>
      </c>
    </row>
    <row r="35" spans="2:8" ht="12" thickBot="1" x14ac:dyDescent="0.25">
      <c r="B35" s="253" t="s">
        <v>847</v>
      </c>
      <c r="D35" s="254">
        <f>E33</f>
        <v>139688.74</v>
      </c>
      <c r="E35" s="249"/>
    </row>
    <row r="36" spans="2:8" ht="12" thickTop="1" x14ac:dyDescent="0.2">
      <c r="B36" t="s">
        <v>815</v>
      </c>
      <c r="D36" s="20">
        <f>D33</f>
        <v>5467331.0300000003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0" activePane="bottomLeft" state="frozen"/>
      <selection activeCell="F46" sqref="F46"/>
      <selection pane="bottomLeft" activeCell="C139" sqref="C1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194277.35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82245.2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5698.63</v>
      </c>
      <c r="D11" s="95">
        <f>'DOE25'!G12</f>
        <v>6403.51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20629.59</v>
      </c>
      <c r="D12" s="95">
        <f>'DOE25'!G13</f>
        <v>1330.76</v>
      </c>
      <c r="E12" s="95">
        <f>'DOE25'!H13</f>
        <v>12308.64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3910.17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222605.57</v>
      </c>
      <c r="D18" s="41">
        <f>SUM(D8:D17)</f>
        <v>11644.44</v>
      </c>
      <c r="E18" s="41">
        <f>SUM(E8:E17)</f>
        <v>12308.64</v>
      </c>
      <c r="F18" s="41">
        <f>SUM(F8:F17)</f>
        <v>0</v>
      </c>
      <c r="G18" s="41">
        <f>SUM(G8:G17)</f>
        <v>82245.2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12102.14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100208.07</v>
      </c>
      <c r="D22" s="95">
        <f>'DOE25'!G23</f>
        <v>1644.44</v>
      </c>
      <c r="E22" s="95">
        <f>'DOE25'!H23</f>
        <v>206.5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5476.03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3447.58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109131.68000000001</v>
      </c>
      <c r="D31" s="41">
        <f>SUM(D21:D30)</f>
        <v>1644.44</v>
      </c>
      <c r="E31" s="41">
        <f>SUM(E21:E30)</f>
        <v>12308.64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1061.1400000000001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82245.2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112412.75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113473.89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82245.2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222605.57</v>
      </c>
      <c r="D51" s="41">
        <f>D50+D31</f>
        <v>11644.44</v>
      </c>
      <c r="E51" s="41">
        <f>E50+E31</f>
        <v>12308.64</v>
      </c>
      <c r="F51" s="41">
        <f>F50+F31</f>
        <v>0</v>
      </c>
      <c r="G51" s="41">
        <f>G50+G31</f>
        <v>82245.2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4014905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105.98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49168.37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35889.78</v>
      </c>
      <c r="D61" s="95">
        <f>SUM('DOE25'!G98:G110)</f>
        <v>1750</v>
      </c>
      <c r="E61" s="95">
        <f>SUM('DOE25'!H98:H110)</f>
        <v>0</v>
      </c>
      <c r="F61" s="95">
        <f>SUM('DOE25'!I98:I110)</f>
        <v>0</v>
      </c>
      <c r="G61" s="95">
        <f>SUM('DOE25'!J98:J110)</f>
        <v>1843.8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35889.78</v>
      </c>
      <c r="D62" s="130">
        <f>SUM(D57:D61)</f>
        <v>50918.37</v>
      </c>
      <c r="E62" s="130">
        <f>SUM(E57:E61)</f>
        <v>0</v>
      </c>
      <c r="F62" s="130">
        <f>SUM(F57:F61)</f>
        <v>0</v>
      </c>
      <c r="G62" s="130">
        <f>SUM(G57:G61)</f>
        <v>1949.78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4050794.78</v>
      </c>
      <c r="D63" s="22">
        <f>D56+D62</f>
        <v>50918.37</v>
      </c>
      <c r="E63" s="22">
        <f>E56+E62</f>
        <v>0</v>
      </c>
      <c r="F63" s="22">
        <f>F56+F62</f>
        <v>0</v>
      </c>
      <c r="G63" s="22">
        <f>G56+G62</f>
        <v>1949.78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823341.32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643573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1466914.3199999998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26016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67185.600000000006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1126.76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93201.600000000006</v>
      </c>
      <c r="D78" s="130">
        <f>SUM(D72:D77)</f>
        <v>1126.76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1560115.92</v>
      </c>
      <c r="D81" s="130">
        <f>SUM(D79:D80)+D78+D70</f>
        <v>1126.76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51371.519999999997</v>
      </c>
      <c r="D88" s="95">
        <f>SUM('DOE25'!G153:G161)</f>
        <v>27557.34</v>
      </c>
      <c r="E88" s="95">
        <f>SUM('DOE25'!H153:H161)</f>
        <v>42701.149999999994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51371.519999999997</v>
      </c>
      <c r="D91" s="131">
        <f>SUM(D85:D90)</f>
        <v>27557.34</v>
      </c>
      <c r="E91" s="131">
        <f>SUM(E85:E90)</f>
        <v>42701.149999999994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25043.439999999999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54400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54400</v>
      </c>
      <c r="D103" s="86">
        <f>SUM(D93:D102)</f>
        <v>25043.439999999999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5716682.2199999988</v>
      </c>
      <c r="D104" s="86">
        <f>D63+D81+D91+D103</f>
        <v>104645.91</v>
      </c>
      <c r="E104" s="86">
        <f>E63+E81+E91+E103</f>
        <v>42701.149999999994</v>
      </c>
      <c r="F104" s="86">
        <f>F63+F81+F91+F103</f>
        <v>0</v>
      </c>
      <c r="G104" s="86">
        <f>G63+G81+G103</f>
        <v>1949.78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3000259.43</v>
      </c>
      <c r="D109" s="24" t="s">
        <v>289</v>
      </c>
      <c r="E109" s="95">
        <f>('DOE25'!L276)+('DOE25'!L295)+('DOE25'!L314)</f>
        <v>36528.47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960690.05999999994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45695.33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4006644.8200000003</v>
      </c>
      <c r="D115" s="86">
        <f>SUM(D109:D114)</f>
        <v>0</v>
      </c>
      <c r="E115" s="86">
        <f>SUM(E109:E114)</f>
        <v>36528.47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344298.35000000003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166990.53</v>
      </c>
      <c r="D119" s="24" t="s">
        <v>289</v>
      </c>
      <c r="E119" s="95">
        <f>+('DOE25'!L282)+('DOE25'!L301)+('DOE25'!L320)</f>
        <v>5275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187051.22999999998</v>
      </c>
      <c r="D120" s="24" t="s">
        <v>289</v>
      </c>
      <c r="E120" s="95">
        <f>+('DOE25'!L283)+('DOE25'!L302)+('DOE25'!L321)</f>
        <v>897.68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190745.46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396701.25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340529.1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104645.91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1626315.92</v>
      </c>
      <c r="D128" s="86">
        <f>SUM(D118:D127)</f>
        <v>104645.91</v>
      </c>
      <c r="E128" s="86">
        <f>SUM(E118:E127)</f>
        <v>6172.68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8448.5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25043.439999999999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1949.7800000000002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-1949.7800000000002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9447.4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147939.34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5780900.0800000001</v>
      </c>
      <c r="D145" s="86">
        <f>(D115+D128+D144)</f>
        <v>104645.91</v>
      </c>
      <c r="E145" s="86">
        <f>(E115+E128+E144)</f>
        <v>42701.15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105000</v>
      </c>
    </row>
    <row r="159" spans="1:9" x14ac:dyDescent="0.2">
      <c r="A159" s="22" t="s">
        <v>35</v>
      </c>
      <c r="B159" s="137">
        <f>'DOE25'!F498</f>
        <v>210000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210000</v>
      </c>
    </row>
    <row r="160" spans="1:9" x14ac:dyDescent="0.2">
      <c r="A160" s="22" t="s">
        <v>36</v>
      </c>
      <c r="B160" s="137">
        <f>'DOE25'!F499</f>
        <v>9397.5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9397.5</v>
      </c>
    </row>
    <row r="161" spans="1:7" x14ac:dyDescent="0.2">
      <c r="A161" s="22" t="s">
        <v>37</v>
      </c>
      <c r="B161" s="137">
        <f>'DOE25'!F500</f>
        <v>219397.5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219397.5</v>
      </c>
    </row>
    <row r="162" spans="1:7" x14ac:dyDescent="0.2">
      <c r="A162" s="22" t="s">
        <v>38</v>
      </c>
      <c r="B162" s="137">
        <f>'DOE25'!F501</f>
        <v>105000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105000</v>
      </c>
    </row>
    <row r="163" spans="1:7" x14ac:dyDescent="0.2">
      <c r="A163" s="22" t="s">
        <v>39</v>
      </c>
      <c r="B163" s="137">
        <f>'DOE25'!F502</f>
        <v>7035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7035</v>
      </c>
    </row>
    <row r="164" spans="1:7" x14ac:dyDescent="0.2">
      <c r="A164" s="22" t="s">
        <v>246</v>
      </c>
      <c r="B164" s="137">
        <f>'DOE25'!F503</f>
        <v>112035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112035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Chichester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16876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16876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3036788</v>
      </c>
      <c r="D10" s="182">
        <f>ROUND((C10/$C$28)*100,1)</f>
        <v>52.8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960690</v>
      </c>
      <c r="D11" s="182">
        <f>ROUND((C11/$C$28)*100,1)</f>
        <v>16.7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45695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344298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172266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187949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190745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396701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340529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8449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9447.4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53727.63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5747285.0300000003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5747285.0300000003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4014905</v>
      </c>
      <c r="D35" s="182">
        <f t="shared" ref="D35:D40" si="1">ROUND((C35/$C$41)*100,1)</f>
        <v>70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37839.55999999959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1466914</v>
      </c>
      <c r="D37" s="182">
        <f t="shared" si="1"/>
        <v>25.6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94328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121630</v>
      </c>
      <c r="D39" s="182">
        <f t="shared" si="1"/>
        <v>2.1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5735616.5599999996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B4" sqref="B4"/>
      <selection pane="bottomLeft" activeCell="B4" sqref="B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Chichester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2016-10-20T15:18:34Z</cp:lastPrinted>
  <dcterms:created xsi:type="dcterms:W3CDTF">1997-12-04T19:04:30Z</dcterms:created>
  <dcterms:modified xsi:type="dcterms:W3CDTF">2016-10-24T14:28:20Z</dcterms:modified>
</cp:coreProperties>
</file>