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2" i="1" l="1"/>
  <c r="I592" i="1"/>
  <c r="H244" i="1"/>
  <c r="H234" i="1"/>
  <c r="H226" i="1"/>
  <c r="H216" i="1"/>
  <c r="H208" i="1" l="1"/>
  <c r="H198" i="1"/>
  <c r="G582" i="1" l="1"/>
  <c r="G523" i="1" l="1"/>
  <c r="H523" i="1"/>
  <c r="I523" i="1"/>
  <c r="J523" i="1"/>
  <c r="K523" i="1"/>
  <c r="F523" i="1"/>
  <c r="G522" i="1"/>
  <c r="H522" i="1"/>
  <c r="I522" i="1"/>
  <c r="J522" i="1"/>
  <c r="K522" i="1"/>
  <c r="F522" i="1"/>
  <c r="G521" i="1"/>
  <c r="H521" i="1"/>
  <c r="I521" i="1"/>
  <c r="J521" i="1"/>
  <c r="K521" i="1"/>
  <c r="F521" i="1"/>
  <c r="D20" i="14"/>
  <c r="D19" i="14"/>
  <c r="D18" i="14"/>
  <c r="J604" i="1"/>
  <c r="I604" i="1"/>
  <c r="H604" i="1"/>
  <c r="H48" i="1"/>
  <c r="G48" i="1"/>
  <c r="N15" i="14"/>
  <c r="M15" i="14"/>
  <c r="H110" i="1"/>
  <c r="M11" i="14"/>
  <c r="H102" i="1"/>
  <c r="H66" i="1"/>
  <c r="H367" i="1" l="1"/>
  <c r="G367" i="1"/>
  <c r="I215" i="1"/>
  <c r="K260" i="1"/>
  <c r="G241" i="1"/>
  <c r="F109" i="1"/>
  <c r="F160" i="1"/>
  <c r="F96" i="1"/>
  <c r="F101" i="1"/>
  <c r="F70" i="1"/>
  <c r="G35" i="1"/>
  <c r="F36" i="1"/>
  <c r="F13" i="1"/>
  <c r="F49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L612" i="1"/>
  <c r="L611" i="1"/>
  <c r="C40" i="10"/>
  <c r="F60" i="1"/>
  <c r="C56" i="2" s="1"/>
  <c r="G60" i="1"/>
  <c r="H60" i="1"/>
  <c r="I60" i="1"/>
  <c r="F79" i="1"/>
  <c r="F94" i="1"/>
  <c r="F111" i="1"/>
  <c r="G111" i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I169" i="1" s="1"/>
  <c r="C13" i="10"/>
  <c r="L250" i="1"/>
  <c r="L332" i="1"/>
  <c r="L254" i="1"/>
  <c r="L268" i="1"/>
  <c r="L269" i="1"/>
  <c r="L349" i="1"/>
  <c r="L350" i="1"/>
  <c r="C26" i="10" s="1"/>
  <c r="I665" i="1"/>
  <c r="I670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E112" i="2"/>
  <c r="C113" i="2"/>
  <c r="E113" i="2"/>
  <c r="C114" i="2"/>
  <c r="D115" i="2"/>
  <c r="F115" i="2"/>
  <c r="G115" i="2"/>
  <c r="E119" i="2"/>
  <c r="E121" i="2"/>
  <c r="C122" i="2"/>
  <c r="C123" i="2"/>
  <c r="E123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604" i="1" s="1"/>
  <c r="K605" i="1" s="1"/>
  <c r="G648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605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J641" i="1" s="1"/>
  <c r="I470" i="1"/>
  <c r="J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H605" i="1"/>
  <c r="I605" i="1"/>
  <c r="F614" i="1"/>
  <c r="G614" i="1"/>
  <c r="H614" i="1"/>
  <c r="I614" i="1"/>
  <c r="J614" i="1"/>
  <c r="K614" i="1"/>
  <c r="G618" i="1"/>
  <c r="G622" i="1"/>
  <c r="G623" i="1"/>
  <c r="G625" i="1"/>
  <c r="H630" i="1"/>
  <c r="H631" i="1"/>
  <c r="H636" i="1"/>
  <c r="H637" i="1"/>
  <c r="H638" i="1"/>
  <c r="G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D17" i="13"/>
  <c r="C17" i="13" s="1"/>
  <c r="D6" i="13"/>
  <c r="C6" i="13" s="1"/>
  <c r="D50" i="2"/>
  <c r="D19" i="13"/>
  <c r="C19" i="13" s="1"/>
  <c r="D14" i="13"/>
  <c r="C14" i="13" s="1"/>
  <c r="E13" i="13"/>
  <c r="C13" i="13" s="1"/>
  <c r="J643" i="1"/>
  <c r="F169" i="1"/>
  <c r="J140" i="1"/>
  <c r="F571" i="1"/>
  <c r="J552" i="1"/>
  <c r="H140" i="1"/>
  <c r="L401" i="1"/>
  <c r="C139" i="2" s="1"/>
  <c r="A13" i="12"/>
  <c r="F22" i="13"/>
  <c r="C22" i="13" s="1"/>
  <c r="H571" i="1"/>
  <c r="C35" i="10"/>
  <c r="L570" i="1"/>
  <c r="G36" i="2"/>
  <c r="I552" i="1" l="1"/>
  <c r="K551" i="1"/>
  <c r="G552" i="1"/>
  <c r="I545" i="1"/>
  <c r="E31" i="2"/>
  <c r="E57" i="2"/>
  <c r="E62" i="2" s="1"/>
  <c r="E63" i="2" s="1"/>
  <c r="E120" i="2"/>
  <c r="J338" i="1"/>
  <c r="J352" i="1" s="1"/>
  <c r="E111" i="2"/>
  <c r="G338" i="1"/>
  <c r="G352" i="1" s="1"/>
  <c r="F338" i="1"/>
  <c r="F352" i="1" s="1"/>
  <c r="L560" i="1"/>
  <c r="G192" i="1"/>
  <c r="E103" i="2"/>
  <c r="L351" i="1"/>
  <c r="L539" i="1"/>
  <c r="G545" i="1"/>
  <c r="F461" i="1"/>
  <c r="H639" i="1" s="1"/>
  <c r="J639" i="1" s="1"/>
  <c r="G157" i="2"/>
  <c r="G81" i="2"/>
  <c r="D18" i="2"/>
  <c r="H169" i="1"/>
  <c r="H663" i="1"/>
  <c r="C25" i="10"/>
  <c r="L328" i="1"/>
  <c r="L309" i="1"/>
  <c r="D18" i="13"/>
  <c r="C18" i="13" s="1"/>
  <c r="E16" i="13"/>
  <c r="K545" i="1"/>
  <c r="K571" i="1"/>
  <c r="L565" i="1"/>
  <c r="L571" i="1" s="1"/>
  <c r="L419" i="1"/>
  <c r="D81" i="2"/>
  <c r="L544" i="1"/>
  <c r="L529" i="1"/>
  <c r="J545" i="1"/>
  <c r="L270" i="1"/>
  <c r="K550" i="1"/>
  <c r="G112" i="1"/>
  <c r="C20" i="10"/>
  <c r="F663" i="1"/>
  <c r="G663" i="1"/>
  <c r="C118" i="2"/>
  <c r="I476" i="1"/>
  <c r="H625" i="1" s="1"/>
  <c r="J625" i="1" s="1"/>
  <c r="L393" i="1"/>
  <c r="C138" i="2" s="1"/>
  <c r="J645" i="1"/>
  <c r="J476" i="1"/>
  <c r="H626" i="1" s="1"/>
  <c r="G257" i="1"/>
  <c r="G271" i="1" s="1"/>
  <c r="H647" i="1"/>
  <c r="C18" i="10"/>
  <c r="I257" i="1"/>
  <c r="I271" i="1" s="1"/>
  <c r="C119" i="2"/>
  <c r="D7" i="13"/>
  <c r="C7" i="13" s="1"/>
  <c r="C111" i="2"/>
  <c r="A31" i="12"/>
  <c r="K257" i="1"/>
  <c r="K271" i="1" s="1"/>
  <c r="L247" i="1"/>
  <c r="F257" i="1"/>
  <c r="F271" i="1" s="1"/>
  <c r="C91" i="2"/>
  <c r="C78" i="2"/>
  <c r="F18" i="2"/>
  <c r="C18" i="2"/>
  <c r="L534" i="1"/>
  <c r="L524" i="1"/>
  <c r="C70" i="2"/>
  <c r="G164" i="2"/>
  <c r="G161" i="2"/>
  <c r="G156" i="2"/>
  <c r="K549" i="1"/>
  <c r="H545" i="1"/>
  <c r="F552" i="1"/>
  <c r="H552" i="1"/>
  <c r="K598" i="1"/>
  <c r="G647" i="1" s="1"/>
  <c r="H408" i="1"/>
  <c r="H644" i="1" s="1"/>
  <c r="J644" i="1" s="1"/>
  <c r="D62" i="2"/>
  <c r="D63" i="2" s="1"/>
  <c r="D91" i="2"/>
  <c r="I446" i="1"/>
  <c r="G642" i="1" s="1"/>
  <c r="L362" i="1"/>
  <c r="G472" i="1" s="1"/>
  <c r="F661" i="1"/>
  <c r="J634" i="1"/>
  <c r="C16" i="10"/>
  <c r="C109" i="2"/>
  <c r="L229" i="1"/>
  <c r="C132" i="2"/>
  <c r="J651" i="1"/>
  <c r="G662" i="1"/>
  <c r="C19" i="10"/>
  <c r="C17" i="10"/>
  <c r="C11" i="10"/>
  <c r="C110" i="2"/>
  <c r="J257" i="1"/>
  <c r="J271" i="1" s="1"/>
  <c r="L211" i="1"/>
  <c r="C10" i="10"/>
  <c r="H257" i="1"/>
  <c r="H271" i="1" s="1"/>
  <c r="I460" i="1"/>
  <c r="G461" i="1"/>
  <c r="H640" i="1" s="1"/>
  <c r="J640" i="1" s="1"/>
  <c r="I452" i="1"/>
  <c r="H338" i="1"/>
  <c r="H352" i="1" s="1"/>
  <c r="F112" i="1"/>
  <c r="C36" i="10" s="1"/>
  <c r="H52" i="1"/>
  <c r="H619" i="1" s="1"/>
  <c r="J619" i="1" s="1"/>
  <c r="D31" i="2"/>
  <c r="D51" i="2" s="1"/>
  <c r="J617" i="1"/>
  <c r="C16" i="13"/>
  <c r="L290" i="1"/>
  <c r="K503" i="1"/>
  <c r="L382" i="1"/>
  <c r="G636" i="1" s="1"/>
  <c r="J636" i="1" s="1"/>
  <c r="E122" i="2"/>
  <c r="E118" i="2"/>
  <c r="E109" i="2"/>
  <c r="E115" i="2" s="1"/>
  <c r="C15" i="10"/>
  <c r="C29" i="10"/>
  <c r="D15" i="13"/>
  <c r="C15" i="13" s="1"/>
  <c r="D127" i="2"/>
  <c r="D128" i="2" s="1"/>
  <c r="D145" i="2" s="1"/>
  <c r="C57" i="2"/>
  <c r="C62" i="2" s="1"/>
  <c r="C63" i="2" s="1"/>
  <c r="F662" i="1"/>
  <c r="H25" i="13"/>
  <c r="F81" i="2"/>
  <c r="L614" i="1"/>
  <c r="H661" i="1"/>
  <c r="C21" i="10"/>
  <c r="C12" i="10"/>
  <c r="D5" i="13"/>
  <c r="C5" i="13" s="1"/>
  <c r="D29" i="13"/>
  <c r="C29" i="13" s="1"/>
  <c r="K500" i="1"/>
  <c r="I52" i="1"/>
  <c r="H620" i="1" s="1"/>
  <c r="J620" i="1" s="1"/>
  <c r="C121" i="2"/>
  <c r="G661" i="1"/>
  <c r="E8" i="13"/>
  <c r="C8" i="13" s="1"/>
  <c r="D12" i="13"/>
  <c r="C12" i="13" s="1"/>
  <c r="K352" i="1"/>
  <c r="G649" i="1"/>
  <c r="J649" i="1" s="1"/>
  <c r="C124" i="2"/>
  <c r="C120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G140" i="1"/>
  <c r="F140" i="1"/>
  <c r="G63" i="2"/>
  <c r="J618" i="1"/>
  <c r="G42" i="2"/>
  <c r="G50" i="2" s="1"/>
  <c r="J51" i="1"/>
  <c r="G16" i="2"/>
  <c r="J19" i="1"/>
  <c r="G621" i="1" s="1"/>
  <c r="G18" i="2"/>
  <c r="F545" i="1"/>
  <c r="H434" i="1"/>
  <c r="D103" i="2"/>
  <c r="I140" i="1"/>
  <c r="A22" i="12"/>
  <c r="J652" i="1"/>
  <c r="G571" i="1"/>
  <c r="I434" i="1"/>
  <c r="G434" i="1"/>
  <c r="K552" i="1" l="1"/>
  <c r="I663" i="1"/>
  <c r="C39" i="10"/>
  <c r="H660" i="1"/>
  <c r="H664" i="1" s="1"/>
  <c r="H672" i="1" s="1"/>
  <c r="C6" i="10" s="1"/>
  <c r="G660" i="1"/>
  <c r="G664" i="1" s="1"/>
  <c r="G667" i="1" s="1"/>
  <c r="E128" i="2"/>
  <c r="E145" i="2" s="1"/>
  <c r="I193" i="1"/>
  <c r="G630" i="1" s="1"/>
  <c r="J630" i="1" s="1"/>
  <c r="G104" i="2"/>
  <c r="C27" i="10"/>
  <c r="C28" i="10" s="1"/>
  <c r="D16" i="10" s="1"/>
  <c r="J647" i="1"/>
  <c r="H648" i="1"/>
  <c r="J648" i="1" s="1"/>
  <c r="C115" i="2"/>
  <c r="C81" i="2"/>
  <c r="C104" i="2" s="1"/>
  <c r="L545" i="1"/>
  <c r="G474" i="1"/>
  <c r="H635" i="1"/>
  <c r="G635" i="1"/>
  <c r="C144" i="2"/>
  <c r="L257" i="1"/>
  <c r="L271" i="1" s="1"/>
  <c r="G632" i="1" s="1"/>
  <c r="I662" i="1"/>
  <c r="G629" i="1"/>
  <c r="H468" i="1"/>
  <c r="D104" i="2"/>
  <c r="F193" i="1"/>
  <c r="I661" i="1"/>
  <c r="C128" i="2"/>
  <c r="F660" i="1"/>
  <c r="F664" i="1" s="1"/>
  <c r="F672" i="1" s="1"/>
  <c r="C4" i="10" s="1"/>
  <c r="I461" i="1"/>
  <c r="H642" i="1" s="1"/>
  <c r="J642" i="1" s="1"/>
  <c r="G51" i="2"/>
  <c r="D31" i="13"/>
  <c r="C31" i="13" s="1"/>
  <c r="L338" i="1"/>
  <c r="L352" i="1" s="1"/>
  <c r="C25" i="13"/>
  <c r="H33" i="13"/>
  <c r="F51" i="2"/>
  <c r="E33" i="13"/>
  <c r="D35" i="13" s="1"/>
  <c r="L408" i="1"/>
  <c r="C51" i="2"/>
  <c r="G631" i="1"/>
  <c r="J631" i="1" s="1"/>
  <c r="G193" i="1"/>
  <c r="G626" i="1"/>
  <c r="J626" i="1" s="1"/>
  <c r="J52" i="1"/>
  <c r="H621" i="1" s="1"/>
  <c r="J621" i="1" s="1"/>
  <c r="C38" i="10"/>
  <c r="D33" i="13" l="1"/>
  <c r="D36" i="13" s="1"/>
  <c r="J635" i="1"/>
  <c r="G633" i="1"/>
  <c r="H472" i="1"/>
  <c r="C145" i="2"/>
  <c r="F472" i="1"/>
  <c r="H632" i="1" s="1"/>
  <c r="J632" i="1" s="1"/>
  <c r="G628" i="1"/>
  <c r="G468" i="1"/>
  <c r="H470" i="1"/>
  <c r="H629" i="1"/>
  <c r="J629" i="1" s="1"/>
  <c r="G627" i="1"/>
  <c r="F468" i="1"/>
  <c r="G672" i="1"/>
  <c r="C5" i="10" s="1"/>
  <c r="D12" i="10"/>
  <c r="D13" i="10"/>
  <c r="D11" i="10"/>
  <c r="D17" i="10"/>
  <c r="H667" i="1"/>
  <c r="D24" i="10"/>
  <c r="D23" i="10"/>
  <c r="D27" i="10"/>
  <c r="C30" i="10"/>
  <c r="D10" i="10"/>
  <c r="D25" i="10"/>
  <c r="D20" i="10"/>
  <c r="D21" i="10"/>
  <c r="D18" i="10"/>
  <c r="D19" i="10"/>
  <c r="D15" i="10"/>
  <c r="D22" i="10"/>
  <c r="I660" i="1"/>
  <c r="I664" i="1" s="1"/>
  <c r="I672" i="1" s="1"/>
  <c r="C7" i="10" s="1"/>
  <c r="F667" i="1"/>
  <c r="D26" i="10"/>
  <c r="G637" i="1"/>
  <c r="J637" i="1" s="1"/>
  <c r="H646" i="1"/>
  <c r="J646" i="1" s="1"/>
  <c r="C41" i="10"/>
  <c r="D38" i="10" s="1"/>
  <c r="H474" i="1" l="1"/>
  <c r="H476" i="1" s="1"/>
  <c r="H624" i="1" s="1"/>
  <c r="J624" i="1" s="1"/>
  <c r="H633" i="1"/>
  <c r="J633" i="1" s="1"/>
  <c r="F474" i="1"/>
  <c r="G470" i="1"/>
  <c r="G476" i="1" s="1"/>
  <c r="H623" i="1" s="1"/>
  <c r="J623" i="1" s="1"/>
  <c r="H628" i="1"/>
  <c r="J628" i="1" s="1"/>
  <c r="H627" i="1"/>
  <c r="J627" i="1" s="1"/>
  <c r="F470" i="1"/>
  <c r="D28" i="10"/>
  <c r="I667" i="1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<sst xmlns="http://schemas.openxmlformats.org/spreadsheetml/2006/main" count="3959" uniqueCount="917">
  <si>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</si>
  <si>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</si>
  <si>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</si>
  <si>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</si>
  <si>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</si>
  <si>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</si>
  <si>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</si>
  <si>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</si>
  <si>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</si>
  <si>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</si>
  <si>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</si>
  <si>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</si>
  <si>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</si>
  <si>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</si>
  <si>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</si>
  <si>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</si>
  <si>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</si>
  <si>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</si>
  <si>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</si>
  <si>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</si>
  <si>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</si>
  <si>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</si>
  <si>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</si>
  <si>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</si>
  <si>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</si>
  <si>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</si>
  <si>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</si>
  <si>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</si>
  <si>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</si>
  <si>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</si>
  <si>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</si>
  <si>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</si>
  <si>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</si>
  <si>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</si>
  <si>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</si>
  <si>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</si>
  <si>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</si>
  <si>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</si>
  <si>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</si>
  <si>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</si>
  <si>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</si>
  <si>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</si>
  <si>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</si>
  <si>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</si>
  <si>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</si>
  <si>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</si>
  <si>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</si>
  <si>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</si>
  <si>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</si>
  <si>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</si>
  <si>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</si>
  <si>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</si>
  <si>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</si>
  <si>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</si>
  <si>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</si>
  <si>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</si>
  <si>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</si>
  <si>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</si>
  <si>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</si>
  <si>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</si>
  <si>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</si>
  <si>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</si>
  <si>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</si>
  <si>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</si>
  <si>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</si>
  <si>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</si>
  <si>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</si>
  <si>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</si>
  <si>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</si>
  <si>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</si>
  <si>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</si>
  <si>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</si>
  <si>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</si>
  <si>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</si>
  <si>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</si>
  <si>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</si>
  <si>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</si>
  <si>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</si>
  <si>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</si>
  <si>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</si>
  <si>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</si>
  <si>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</si>
  <si>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</si>
  <si>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</si>
  <si>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</si>
  <si>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</si>
  <si>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</si>
  <si>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</si>
  <si>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</si>
  <si>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</si>
  <si>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</si>
  <si>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</si>
  <si>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</si>
  <si>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</si>
  <si>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</si>
  <si>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</si>
  <si>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</si>
  <si>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</si>
  <si>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</si>
  <si>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</si>
  <si>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</si>
  <si>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</si>
  <si>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</si>
  <si>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</si>
  <si>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</si>
  <si>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</si>
  <si>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</si>
  <si>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</si>
  <si>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</si>
  <si>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</si>
  <si>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</si>
  <si>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</si>
  <si>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</si>
  <si>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</si>
  <si>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</si>
  <si>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</si>
  <si>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</si>
  <si>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</si>
  <si>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</si>
  <si>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</si>
  <si>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</si>
  <si>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</si>
  <si>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</si>
  <si>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</si>
  <si>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</si>
  <si>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</si>
  <si>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</si>
  <si>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</si>
  <si>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</si>
  <si>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</si>
  <si>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</si>
  <si>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</si>
  <si>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</si>
  <si>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</si>
  <si>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</si>
  <si>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</si>
  <si>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</si>
  <si>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</si>
  <si>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</si>
  <si>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</si>
  <si>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</si>
  <si>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</si>
  <si>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</si>
  <si>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</si>
  <si>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</si>
  <si>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</si>
  <si>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</si>
  <si>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</si>
  <si>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</si>
  <si>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</si>
  <si>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</si>
  <si>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</si>
  <si>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</si>
  <si>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</si>
  <si>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</si>
  <si>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</si>
  <si>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</si>
  <si>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</si>
  <si>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</si>
  <si>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</si>
  <si>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</si>
  <si>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</si>
  <si>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</si>
  <si>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</si>
  <si>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</si>
  <si>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</si>
  <si>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</si>
  <si>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</si>
  <si>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</si>
  <si>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</si>
  <si>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</si>
  <si>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</si>
  <si>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</si>
  <si>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</si>
  <si>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</si>
  <si>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</si>
  <si>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</si>
  <si>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</si>
  <si>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</si>
  <si>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</si>
  <si>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</si>
  <si>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</si>
  <si>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</si>
  <si>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</si>
  <si>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</si>
  <si>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</si>
  <si>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</si>
  <si>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</si>
  <si>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</si>
  <si>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</si>
  <si>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</si>
  <si>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</si>
  <si>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</si>
  <si>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</si>
  <si>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</si>
  <si>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</si>
  <si>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</si>
  <si>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</si>
  <si>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</si>
  <si>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</si>
  <si>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</si>
  <si>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</si>
  <si>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</si>
  <si>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</si>
  <si>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</si>
  <si>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</si>
  <si>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</si>
  <si>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</si>
  <si>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</si>
  <si>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</si>
  <si>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</si>
  <si>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</si>
  <si>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</si>
  <si>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</si>
  <si>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</si>
  <si>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</si>
  <si>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</si>
  <si>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</si>
  <si>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</si>
  <si>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</si>
  <si>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</si>
  <si>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</si>
  <si>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</si>
  <si>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</si>
  <si>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</si>
  <si>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</si>
  <si>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</si>
  <si>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</si>
  <si>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</si>
  <si>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</si>
  <si>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</si>
  <si>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</si>
  <si>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</si>
  <si>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</si>
  <si>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</si>
  <si>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</si>
  <si>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</si>
  <si>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</si>
  <si>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</si>
  <si>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</si>
  <si>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</si>
  <si>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</si>
  <si>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</si>
  <si>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</si>
  <si>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</si>
  <si>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</si>
  <si>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</si>
  <si>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</si>
  <si>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</si>
  <si>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</si>
  <si>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</si>
  <si>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</si>
  <si>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</si>
  <si>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</si>
  <si>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</si>
  <si>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</si>
  <si>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</si>
  <si>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</si>
  <si>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</si>
  <si>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</si>
  <si>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</si>
  <si>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</si>
  <si>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</si>
  <si>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</si>
  <si>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</si>
  <si>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</si>
  <si>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</si>
  <si>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</si>
  <si>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</si>
  <si>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</si>
  <si>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</si>
  <si>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</si>
  <si>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</si>
  <si>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</si>
  <si>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</si>
  <si>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</si>
  <si>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</si>
  <si>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</si>
  <si>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</si>
  <si>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</si>
  <si>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</si>
  <si>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</si>
  <si>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</si>
  <si>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</si>
  <si>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</si>
  <si>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</si>
  <si>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</si>
  <si>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</si>
  <si>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</si>
  <si>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</si>
  <si>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</si>
  <si>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</si>
  <si>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</si>
  <si>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</si>
  <si>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</si>
  <si>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</si>
  <si>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</si>
  <si>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</si>
  <si>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</si>
  <si>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</si>
  <si>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</si>
  <si>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</si>
  <si>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</si>
  <si>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</si>
  <si>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</si>
  <si>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</si>
  <si>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</si>
  <si>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</si>
  <si>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</si>
  <si>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</si>
  <si>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</si>
  <si>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</si>
  <si>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</si>
  <si>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</si>
  <si>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</si>
  <si>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</si>
  <si>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</si>
  <si>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</si>
  <si>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</si>
  <si>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</si>
  <si>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</si>
  <si>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</si>
  <si>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</si>
  <si>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</si>
  <si>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</si>
  <si>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</si>
  <si>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</si>
  <si>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</si>
  <si>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</si>
  <si>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</si>
  <si>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</si>
  <si>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</si>
  <si>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</si>
  <si>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</si>
  <si>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</si>
  <si>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</si>
  <si>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</si>
  <si>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</si>
  <si>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</si>
  <si>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</si>
  <si>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</si>
  <si>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</si>
  <si>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</si>
  <si>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</si>
  <si>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</si>
  <si>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</si>
  <si>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</si>
  <si>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</si>
  <si>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</si>
  <si>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</si>
  <si>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</si>
  <si>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</si>
  <si>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</si>
  <si>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</si>
  <si>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</si>
  <si>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</si>
  <si>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</si>
  <si>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</si>
  <si>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</si>
  <si>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</si>
  <si>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</si>
  <si>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</si>
  <si>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</si>
  <si>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</si>
  <si>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</si>
  <si>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</si>
  <si>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</si>
  <si>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</si>
  <si>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</si>
  <si>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</si>
  <si>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</si>
  <si>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</si>
  <si>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</si>
  <si>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</si>
  <si>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</si>
  <si>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</si>
  <si>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</si>
  <si>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</si>
  <si>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</si>
  <si>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</si>
  <si>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</si>
  <si>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</si>
  <si>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</si>
  <si>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</si>
  <si>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</si>
  <si>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</si>
  <si>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</si>
  <si>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</si>
  <si>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</si>
  <si>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</si>
  <si>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</si>
  <si>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</si>
  <si>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</si>
  <si>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</si>
  <si>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</si>
  <si>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</si>
  <si>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</si>
  <si>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</si>
  <si>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</si>
  <si>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</si>
  <si>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</si>
  <si>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</si>
  <si>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</si>
  <si>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</si>
  <si>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</si>
  <si>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</si>
  <si>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</si>
  <si>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</si>
  <si>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</si>
  <si>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</si>
  <si>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</si>
  <si>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</si>
  <si>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</si>
  <si>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</si>
  <si>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</si>
  <si>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</si>
  <si>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</si>
  <si>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</si>
  <si>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</si>
  <si>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</si>
  <si>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</si>
  <si>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</si>
  <si>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</si>
  <si>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</si>
  <si>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</si>
  <si>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</si>
  <si>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</si>
  <si>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</si>
  <si>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</si>
  <si>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</si>
  <si>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</si>
  <si>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</si>
  <si>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</si>
  <si>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</si>
  <si>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</si>
  <si>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</si>
  <si>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</si>
  <si>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</si>
  <si>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</si>
  <si>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</si>
  <si>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</si>
  <si>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</si>
  <si>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</si>
  <si>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</si>
  <si>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</si>
  <si>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</si>
  <si>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</si>
  <si>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</si>
  <si>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</si>
  <si>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</si>
  <si>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</si>
  <si>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</si>
  <si>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</si>
  <si>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</si>
  <si>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</si>
  <si>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</si>
  <si>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</si>
  <si>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</si>
  <si>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</si>
  <si>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</si>
  <si>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</si>
  <si>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</si>
  <si>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</si>
  <si>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</si>
  <si>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</si>
  <si>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</si>
  <si>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</si>
  <si>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</si>
  <si>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</si>
  <si>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</si>
  <si>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</si>
  <si>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</si>
  <si>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</si>
  <si>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</si>
  <si>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</si>
  <si>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</si>
  <si>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</si>
  <si>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</si>
  <si>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</si>
  <si>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</si>
  <si>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</si>
  <si>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</si>
  <si>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</si>
  <si>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</si>
  <si>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</si>
  <si>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</si>
  <si>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</si>
  <si>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</si>
  <si>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</si>
  <si>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</si>
  <si>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</si>
  <si>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</si>
  <si>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</si>
  <si>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</si>
  <si>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</si>
  <si>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</si>
  <si>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</si>
  <si>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</si>
  <si>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</si>
  <si>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</si>
  <si>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</si>
  <si>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</si>
  <si>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</si>
  <si>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</si>
  <si>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</si>
  <si>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</si>
  <si>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</si>
  <si>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</si>
  <si>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</si>
  <si>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</si>
  <si>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</si>
  <si>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</si>
  <si>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</si>
  <si>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</si>
  <si>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</si>
  <si>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</si>
  <si>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</si>
  <si>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</si>
  <si>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</si>
  <si>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</si>
  <si>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</si>
  <si>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</si>
  <si>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</si>
  <si>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</si>
  <si>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</si>
  <si>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</si>
  <si>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</si>
  <si>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</si>
  <si>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</si>
  <si>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</si>
  <si>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</si>
  <si>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</si>
  <si>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</si>
  <si>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</si>
  <si>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</si>
  <si>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</si>
  <si>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</si>
  <si>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</si>
  <si>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</si>
  <si>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</si>
  <si>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</si>
  <si>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</si>
  <si>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</si>
  <si>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</si>
  <si>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</si>
  <si>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</si>
  <si>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</si>
  <si>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</si>
  <si>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</si>
  <si>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</si>
  <si>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</si>
  <si>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</si>
  <si>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</si>
  <si>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</si>
  <si>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</si>
  <si>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</si>
  <si>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</si>
  <si>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</si>
  <si>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</si>
  <si>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</si>
  <si>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</si>
  <si>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</si>
  <si>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</si>
  <si>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</si>
  <si>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</si>
  <si>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</si>
  <si>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</si>
  <si>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</si>
  <si>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</si>
  <si>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</si>
  <si>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</si>
  <si>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</si>
  <si>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</si>
  <si>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</si>
  <si>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</si>
  <si>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</si>
  <si>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</si>
  <si>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</si>
  <si>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</si>
  <si>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</si>
  <si>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</si>
  <si>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</si>
  <si>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</si>
  <si>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</si>
  <si>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</si>
  <si>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</si>
  <si>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</si>
  <si>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</si>
  <si>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</si>
  <si>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</si>
  <si>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</si>
  <si>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</si>
  <si>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</si>
  <si>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</si>
  <si>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</si>
  <si>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</si>
  <si>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</si>
  <si>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</si>
  <si>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</si>
  <si>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</si>
  <si>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</si>
  <si>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</si>
  <si>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</si>
  <si>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</si>
  <si>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</si>
  <si>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</si>
  <si>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</si>
  <si>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</si>
  <si>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</si>
  <si>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</si>
  <si>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</si>
  <si>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</si>
  <si>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</si>
  <si>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</si>
  <si>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</si>
  <si>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</si>
  <si>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</si>
  <si>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</si>
  <si>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</si>
  <si>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</si>
  <si>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</si>
  <si>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</si>
  <si>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</si>
  <si>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</si>
  <si>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</si>
  <si>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</si>
  <si>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</si>
  <si>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</si>
  <si>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</si>
  <si>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</si>
  <si>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</si>
  <si>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</si>
  <si>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</si>
  <si>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</si>
  <si>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</si>
  <si>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</si>
  <si>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</si>
  <si>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</si>
  <si>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</si>
  <si>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</si>
  <si>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</si>
  <si>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</si>
  <si>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</si>
  <si>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</si>
  <si>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</si>
  <si>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</si>
  <si>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</si>
  <si>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</si>
  <si>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</si>
  <si>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</si>
  <si>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</si>
  <si>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</si>
  <si>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</si>
  <si>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</si>
  <si>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</si>
  <si>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</si>
  <si>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</si>
  <si>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</si>
  <si>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</si>
  <si>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</si>
  <si>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</si>
  <si>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</si>
  <si>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</si>
  <si>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</si>
  <si>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</si>
  <si>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</si>
  <si>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</si>
  <si>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</si>
  <si>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</si>
  <si>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</si>
  <si>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</si>
  <si>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</si>
  <si>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</si>
  <si>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</si>
  <si>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</si>
  <si>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</si>
  <si>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</si>
  <si>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</si>
  <si>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</si>
  <si>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</si>
  <si>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</si>
  <si>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</si>
  <si>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</si>
  <si>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</si>
  <si>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</si>
  <si>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</si>
  <si>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</si>
  <si>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</si>
  <si>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</si>
  <si>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</si>
  <si>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</si>
  <si>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</si>
  <si>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</si>
  <si>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</si>
  <si>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</si>
  <si>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</si>
  <si>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</si>
  <si>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</si>
  <si>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</si>
  <si>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</si>
  <si>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</si>
  <si>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</si>
  <si>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</si>
  <si>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</si>
  <si>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</si>
  <si>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</si>
  <si>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</si>
  <si>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</si>
  <si>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</si>
  <si>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</si>
  <si>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</si>
  <si>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</si>
  <si>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</si>
  <si>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</si>
  <si>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</si>
  <si>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</si>
  <si>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</si>
  <si>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</si>
  <si>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</si>
  <si>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</si>
  <si>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</si>
  <si>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</si>
  <si>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</si>
  <si>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</si>
  <si>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</si>
  <si>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</si>
  <si>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</si>
  <si>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</si>
  <si>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</si>
  <si>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</si>
  <si>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</si>
  <si>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</si>
  <si>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</si>
  <si>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</si>
  <si>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</si>
  <si>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</si>
  <si>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</si>
  <si>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</si>
  <si>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</si>
  <si>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</si>
  <si>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</si>
  <si>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</si>
  <si>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</si>
  <si>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</si>
  <si>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</si>
  <si>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</si>
  <si>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</si>
  <si>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</si>
  <si>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</si>
  <si>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</si>
  <si>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</si>
  <si>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</si>
  <si>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</si>
  <si>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</si>
  <si>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</si>
  <si>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</si>
  <si>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</si>
  <si>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</si>
  <si>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</si>
  <si>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</si>
  <si>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</si>
  <si>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</si>
  <si>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</si>
  <si>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</si>
  <si>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</si>
  <si>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</si>
  <si>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</si>
  <si>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</si>
  <si>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</si>
  <si>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</si>
  <si>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</si>
  <si>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</si>
  <si>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</si>
  <si>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</si>
  <si>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</si>
  <si>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</si>
  <si>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</si>
  <si>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</si>
  <si>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</si>
  <si>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</si>
  <si>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</si>
  <si>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</si>
  <si>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</si>
  <si>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</si>
  <si>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</si>
  <si>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</si>
  <si>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</si>
  <si>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</si>
  <si>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</si>
  <si>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</si>
  <si>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</si>
  <si>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</si>
  <si>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</si>
  <si>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</si>
  <si>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</si>
  <si>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</si>
  <si>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</si>
  <si>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</si>
  <si>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</si>
  <si>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</si>
  <si>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</si>
  <si>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</si>
  <si>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</si>
  <si>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</si>
  <si>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</si>
  <si>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</si>
  <si>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</si>
  <si>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</si>
  <si>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</si>
  <si>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</si>
  <si>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</si>
  <si>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</si>
  <si>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</si>
  <si>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</si>
  <si>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</si>
  <si>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</si>
  <si>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</si>
  <si>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</si>
  <si>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</si>
  <si>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</si>
  <si>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</si>
  <si>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</si>
  <si>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</si>
  <si>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</si>
  <si>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</si>
  <si>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</si>
  <si>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</si>
  <si>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</si>
  <si>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</si>
  <si>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</si>
  <si>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</si>
  <si>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</si>
  <si>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</si>
  <si>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</si>
  <si>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</si>
  <si>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</si>
  <si>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</si>
  <si>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</si>
  <si>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</si>
  <si>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</si>
  <si>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</si>
  <si>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</si>
  <si>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</si>
  <si>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</si>
  <si>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</si>
  <si>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</si>
  <si>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</si>
  <si>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</si>
  <si>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</si>
  <si>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</si>
  <si>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</si>
  <si>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</si>
  <si>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</si>
  <si>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</si>
  <si>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</si>
  <si>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</si>
  <si>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</si>
  <si>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</si>
  <si>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</si>
  <si>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</si>
  <si>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</si>
  <si>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</si>
  <si>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</si>
  <si>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</si>
  <si>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</si>
  <si>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</si>
  <si>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</si>
  <si>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</si>
  <si>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</si>
  <si>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</si>
  <si>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</si>
  <si>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</si>
  <si>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</si>
  <si>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</si>
  <si>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</si>
  <si>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</si>
  <si>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</si>
  <si>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</si>
  <si>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</si>
  <si>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</si>
  <si>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</si>
  <si>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</si>
  <si>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</si>
  <si>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</si>
  <si>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</si>
  <si>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</si>
  <si>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</si>
  <si>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</si>
  <si>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</si>
  <si>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</si>
  <si>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</si>
  <si>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</si>
  <si>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</si>
  <si>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</si>
  <si>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</si>
  <si>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</si>
  <si>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</si>
  <si>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</si>
  <si>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</si>
  <si>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</si>
  <si>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</si>
  <si>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</si>
  <si>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</si>
  <si>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</si>
  <si>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</si>
  <si>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</si>
  <si>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</si>
  <si>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</si>
  <si>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</si>
  <si>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</si>
  <si>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</si>
  <si>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</si>
  <si>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Claremont School District</t>
  </si>
  <si>
    <t>abe</t>
  </si>
  <si>
    <t>idea</t>
  </si>
  <si>
    <t>08/13</t>
  </si>
  <si>
    <t>08/33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</si>
</sst>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31" zoomScaleNormal="100" workbookViewId="0">
      <selection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101</v>
      </c>
      <c r="C2" s="21">
        <v>101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957880</v>
      </c>
      <c r="G9" s="18"/>
      <c r="H9" s="18"/>
      <c r="I9" s="18">
        <v>374972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556811</v>
      </c>
      <c r="G12" s="18">
        <v>54117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23760+64307</f>
        <v>88067</v>
      </c>
      <c r="G13" s="18">
        <v>15739</v>
      </c>
      <c r="H13" s="18">
        <v>703873</v>
      </c>
      <c r="I13" s="18"/>
      <c r="J13" s="67">
        <f>SUM(I442)</f>
        <v>394009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21087</v>
      </c>
      <c r="G14" s="18"/>
      <c r="H14" s="18">
        <v>67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11099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13251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71381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1708477</v>
      </c>
      <c r="G19" s="41">
        <f>SUM(G9:G18)</f>
        <v>80955</v>
      </c>
      <c r="H19" s="41">
        <f>SUM(H9:H18)</f>
        <v>703940</v>
      </c>
      <c r="I19" s="41">
        <f>SUM(I9:I18)</f>
        <v>374972</v>
      </c>
      <c r="J19" s="41">
        <f>SUM(J9:J18)</f>
        <v>394009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236693</v>
      </c>
      <c r="I22" s="18">
        <v>374235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368298</v>
      </c>
      <c r="G24" s="18">
        <v>21419</v>
      </c>
      <c r="H24" s="18">
        <v>118108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456144</v>
      </c>
      <c r="G28" s="18">
        <v>2112</v>
      </c>
      <c r="H28" s="18">
        <v>55481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5961</v>
      </c>
      <c r="H30" s="18">
        <v>11320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824442</v>
      </c>
      <c r="G32" s="41">
        <f>SUM(G22:G31)</f>
        <v>29492</v>
      </c>
      <c r="H32" s="41">
        <f>SUM(H22:H31)</f>
        <v>421602</v>
      </c>
      <c r="I32" s="41">
        <f>SUM(I22:I31)</f>
        <v>374235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f>G16</f>
        <v>11099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13251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>
        <v>0</v>
      </c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325000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143233</v>
      </c>
      <c r="G48" s="18">
        <f>-33+40397</f>
        <v>40364</v>
      </c>
      <c r="H48" s="18">
        <f>5810+276528</f>
        <v>282338</v>
      </c>
      <c r="I48" s="18">
        <v>737</v>
      </c>
      <c r="J48" s="13">
        <f>SUM(I459)</f>
        <v>394009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76222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326329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884035</v>
      </c>
      <c r="G51" s="41">
        <f>SUM(G35:G50)</f>
        <v>51463</v>
      </c>
      <c r="H51" s="41">
        <f>SUM(H35:H50)</f>
        <v>282338</v>
      </c>
      <c r="I51" s="41">
        <f>SUM(I35:I50)</f>
        <v>737</v>
      </c>
      <c r="J51" s="41">
        <f>SUM(J35:J50)</f>
        <v>394009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1708477</v>
      </c>
      <c r="G52" s="41">
        <f>G51+G32</f>
        <v>80955</v>
      </c>
      <c r="H52" s="41">
        <f>H51+H32</f>
        <v>703940</v>
      </c>
      <c r="I52" s="41">
        <f>I51+I32</f>
        <v>374972</v>
      </c>
      <c r="J52" s="41">
        <f>J51+J32</f>
        <v>394009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14421696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14421696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f>8155+4060+10000</f>
        <v>22215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356535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4955+2124</f>
        <v>7079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169253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532867</v>
      </c>
      <c r="G79" s="45" t="s">
        <v>289</v>
      </c>
      <c r="H79" s="41">
        <f>SUM(H63:H78)</f>
        <v>22215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19144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19144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10587+98+97487</f>
        <v>108172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120473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64092+775</f>
        <v>64867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5000+1500+10150+2250</f>
        <v>18900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575837-80860</f>
        <v>494977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206214</v>
      </c>
      <c r="G110" s="18"/>
      <c r="H110" s="18">
        <f>121934+1560+2417</f>
        <v>125911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874230</v>
      </c>
      <c r="G111" s="41">
        <f>SUM(G96:G110)</f>
        <v>120473</v>
      </c>
      <c r="H111" s="41">
        <f>SUM(H96:H110)</f>
        <v>144811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15847937</v>
      </c>
      <c r="G112" s="41">
        <f>G60+G111</f>
        <v>120473</v>
      </c>
      <c r="H112" s="41">
        <f>H60+H79+H94+H111</f>
        <v>167026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12922026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1690309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14612335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99000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355155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4822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4566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10132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463543</v>
      </c>
      <c r="G136" s="41">
        <f>SUM(G123:G135)</f>
        <v>10132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15075878</v>
      </c>
      <c r="G140" s="41">
        <f>G121+SUM(G136:G137)</f>
        <v>10132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65748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65748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816752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306003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71040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81286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517351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521168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621438-64188</f>
        <v>557250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557250</v>
      </c>
      <c r="G162" s="41">
        <f>SUM(G150:G161)</f>
        <v>517351</v>
      </c>
      <c r="H162" s="41">
        <f>SUM(H150:H161)</f>
        <v>1796249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622998</v>
      </c>
      <c r="G169" s="41">
        <f>G147+G162+SUM(G163:G168)</f>
        <v>517351</v>
      </c>
      <c r="H169" s="41">
        <f>H147+H162+SUM(H163:H168)</f>
        <v>1796249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47498</v>
      </c>
      <c r="I179" s="18">
        <v>102004</v>
      </c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47498</v>
      </c>
      <c r="I183" s="41">
        <f>SUM(I179:I182)</f>
        <v>102004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47498</v>
      </c>
      <c r="I192" s="41">
        <f>I177+I183+SUM(I188:I191)</f>
        <v>102004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31546813</v>
      </c>
      <c r="G193" s="47">
        <f>G112+G140+G169+G192</f>
        <v>647956</v>
      </c>
      <c r="H193" s="47">
        <f>H112+H140+H169+H192</f>
        <v>2010773</v>
      </c>
      <c r="I193" s="47">
        <f>I112+I140+I169+I192</f>
        <v>102004</v>
      </c>
      <c r="J193" s="47">
        <f>J112+J140+J192</f>
        <v>100000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3057732</v>
      </c>
      <c r="G197" s="18">
        <v>1761046</v>
      </c>
      <c r="H197" s="18">
        <v>99280</v>
      </c>
      <c r="I197" s="18">
        <v>265270</v>
      </c>
      <c r="J197" s="18">
        <v>49728</v>
      </c>
      <c r="K197" s="18">
        <v>0</v>
      </c>
      <c r="L197" s="19">
        <f>SUM(F197:K197)</f>
        <v>5233056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1792960</v>
      </c>
      <c r="G198" s="18">
        <v>640470</v>
      </c>
      <c r="H198" s="18">
        <f>-51967+1070819</f>
        <v>1018852</v>
      </c>
      <c r="I198" s="18">
        <v>22091</v>
      </c>
      <c r="J198" s="18">
        <v>2664</v>
      </c>
      <c r="K198" s="18">
        <v>0</v>
      </c>
      <c r="L198" s="19">
        <f>SUM(F198:K198)</f>
        <v>3477037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416507</v>
      </c>
      <c r="G202" s="18">
        <v>216675</v>
      </c>
      <c r="H202" s="18">
        <v>9260</v>
      </c>
      <c r="I202" s="18">
        <v>3412</v>
      </c>
      <c r="J202" s="18">
        <v>569</v>
      </c>
      <c r="K202" s="18">
        <v>0</v>
      </c>
      <c r="L202" s="19">
        <f t="shared" ref="L202:L208" si="0">SUM(F202:K202)</f>
        <v>646423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169897</v>
      </c>
      <c r="G203" s="18">
        <v>83990</v>
      </c>
      <c r="H203" s="18">
        <v>99140</v>
      </c>
      <c r="I203" s="18">
        <v>24906</v>
      </c>
      <c r="J203" s="18">
        <v>103414</v>
      </c>
      <c r="K203" s="18">
        <v>3368</v>
      </c>
      <c r="L203" s="19">
        <f t="shared" si="0"/>
        <v>484715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3681</v>
      </c>
      <c r="G204" s="18">
        <v>314</v>
      </c>
      <c r="H204" s="18">
        <v>772209</v>
      </c>
      <c r="I204" s="18">
        <v>855</v>
      </c>
      <c r="J204" s="18">
        <v>0</v>
      </c>
      <c r="K204" s="18">
        <v>12408</v>
      </c>
      <c r="L204" s="19">
        <f t="shared" si="0"/>
        <v>789467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644247</v>
      </c>
      <c r="G205" s="18">
        <v>409217</v>
      </c>
      <c r="H205" s="18">
        <v>10305</v>
      </c>
      <c r="I205" s="18">
        <v>5078</v>
      </c>
      <c r="J205" s="18">
        <v>1546</v>
      </c>
      <c r="K205" s="18">
        <v>6699</v>
      </c>
      <c r="L205" s="19">
        <f t="shared" si="0"/>
        <v>1077092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324648</v>
      </c>
      <c r="G207" s="18">
        <v>173103</v>
      </c>
      <c r="H207" s="18">
        <v>455849</v>
      </c>
      <c r="I207" s="18">
        <v>219632</v>
      </c>
      <c r="J207" s="18">
        <v>78775</v>
      </c>
      <c r="K207" s="18"/>
      <c r="L207" s="19">
        <f t="shared" si="0"/>
        <v>1252007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227863</v>
      </c>
      <c r="G208" s="18">
        <v>77428</v>
      </c>
      <c r="H208" s="18">
        <f>51967+103347</f>
        <v>155314</v>
      </c>
      <c r="I208" s="18">
        <v>26743</v>
      </c>
      <c r="J208" s="18">
        <v>49404</v>
      </c>
      <c r="K208" s="18">
        <v>79</v>
      </c>
      <c r="L208" s="19">
        <f t="shared" si="0"/>
        <v>536831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6637535</v>
      </c>
      <c r="G211" s="41">
        <f t="shared" si="1"/>
        <v>3362243</v>
      </c>
      <c r="H211" s="41">
        <f t="shared" si="1"/>
        <v>2620209</v>
      </c>
      <c r="I211" s="41">
        <f t="shared" si="1"/>
        <v>567987</v>
      </c>
      <c r="J211" s="41">
        <f t="shared" si="1"/>
        <v>286100</v>
      </c>
      <c r="K211" s="41">
        <f t="shared" si="1"/>
        <v>22554</v>
      </c>
      <c r="L211" s="41">
        <f t="shared" si="1"/>
        <v>13496628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1537478</v>
      </c>
      <c r="G215" s="18">
        <v>788801</v>
      </c>
      <c r="H215" s="18">
        <v>46603</v>
      </c>
      <c r="I215" s="18">
        <f>3882+73771</f>
        <v>77653</v>
      </c>
      <c r="J215" s="18">
        <v>32647</v>
      </c>
      <c r="K215" s="18">
        <v>2777</v>
      </c>
      <c r="L215" s="19">
        <f>SUM(F215:K215)</f>
        <v>2485959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784741</v>
      </c>
      <c r="G216" s="18">
        <v>299489</v>
      </c>
      <c r="H216" s="18">
        <f>-62324+637897</f>
        <v>575573</v>
      </c>
      <c r="I216" s="18">
        <v>13803</v>
      </c>
      <c r="J216" s="18">
        <v>1232</v>
      </c>
      <c r="K216" s="18">
        <v>0</v>
      </c>
      <c r="L216" s="19">
        <f>SUM(F216:K216)</f>
        <v>1674838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132750</v>
      </c>
      <c r="G217" s="18">
        <v>84727</v>
      </c>
      <c r="H217" s="18">
        <v>0</v>
      </c>
      <c r="I217" s="18">
        <v>9844</v>
      </c>
      <c r="J217" s="18">
        <v>474</v>
      </c>
      <c r="K217" s="18">
        <v>0</v>
      </c>
      <c r="L217" s="19">
        <f>SUM(F217:K217)</f>
        <v>227795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51175</v>
      </c>
      <c r="G218" s="18">
        <v>8307</v>
      </c>
      <c r="H218" s="18">
        <v>7773</v>
      </c>
      <c r="I218" s="18">
        <v>1317</v>
      </c>
      <c r="J218" s="18">
        <v>1347</v>
      </c>
      <c r="K218" s="18">
        <v>1125</v>
      </c>
      <c r="L218" s="19">
        <f>SUM(F218:K218)</f>
        <v>71044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253827</v>
      </c>
      <c r="G220" s="18">
        <v>131913</v>
      </c>
      <c r="H220" s="18">
        <v>4357</v>
      </c>
      <c r="I220" s="18">
        <v>4769</v>
      </c>
      <c r="J220" s="18">
        <v>496</v>
      </c>
      <c r="K220" s="18">
        <v>0</v>
      </c>
      <c r="L220" s="19">
        <f t="shared" ref="L220:L226" si="2">SUM(F220:K220)</f>
        <v>395362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97510</v>
      </c>
      <c r="G221" s="18">
        <v>56128</v>
      </c>
      <c r="H221" s="18">
        <v>47279</v>
      </c>
      <c r="I221" s="18">
        <v>6316</v>
      </c>
      <c r="J221" s="18">
        <v>75356</v>
      </c>
      <c r="K221" s="18">
        <v>1585</v>
      </c>
      <c r="L221" s="19">
        <f t="shared" si="2"/>
        <v>284174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1732</v>
      </c>
      <c r="G222" s="18">
        <v>148</v>
      </c>
      <c r="H222" s="18">
        <v>363372</v>
      </c>
      <c r="I222" s="18">
        <v>402</v>
      </c>
      <c r="J222" s="18">
        <v>0</v>
      </c>
      <c r="K222" s="18">
        <v>5839</v>
      </c>
      <c r="L222" s="19">
        <f t="shared" si="2"/>
        <v>371493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259035</v>
      </c>
      <c r="G223" s="18">
        <v>131388</v>
      </c>
      <c r="H223" s="18">
        <v>6663</v>
      </c>
      <c r="I223" s="18">
        <v>3868</v>
      </c>
      <c r="J223" s="18">
        <v>6974</v>
      </c>
      <c r="K223" s="18">
        <v>904</v>
      </c>
      <c r="L223" s="19">
        <f t="shared" si="2"/>
        <v>408832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259035</v>
      </c>
      <c r="G225" s="18">
        <v>94605</v>
      </c>
      <c r="H225" s="18">
        <v>123739</v>
      </c>
      <c r="I225" s="18">
        <v>11406</v>
      </c>
      <c r="J225" s="18">
        <v>21473</v>
      </c>
      <c r="K225" s="18"/>
      <c r="L225" s="19">
        <f t="shared" si="2"/>
        <v>510258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111691</v>
      </c>
      <c r="G226" s="18">
        <v>37092</v>
      </c>
      <c r="H226" s="18">
        <f>62324+53631</f>
        <v>115955</v>
      </c>
      <c r="I226" s="18">
        <v>12584</v>
      </c>
      <c r="J226" s="18">
        <v>22622</v>
      </c>
      <c r="K226" s="18">
        <v>37</v>
      </c>
      <c r="L226" s="19">
        <f t="shared" si="2"/>
        <v>299981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3488974</v>
      </c>
      <c r="G229" s="41">
        <f>SUM(G215:G228)</f>
        <v>1632598</v>
      </c>
      <c r="H229" s="41">
        <f>SUM(H215:H228)</f>
        <v>1291314</v>
      </c>
      <c r="I229" s="41">
        <f>SUM(I215:I228)</f>
        <v>141962</v>
      </c>
      <c r="J229" s="41">
        <f>SUM(J215:J228)</f>
        <v>162621</v>
      </c>
      <c r="K229" s="41">
        <f t="shared" si="3"/>
        <v>12267</v>
      </c>
      <c r="L229" s="41">
        <f t="shared" si="3"/>
        <v>6729736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1658245</v>
      </c>
      <c r="G233" s="18">
        <v>1111259</v>
      </c>
      <c r="H233" s="18">
        <v>101021</v>
      </c>
      <c r="I233" s="18">
        <v>158782</v>
      </c>
      <c r="J233" s="18">
        <v>101620</v>
      </c>
      <c r="K233" s="18">
        <v>11796</v>
      </c>
      <c r="L233" s="19">
        <f>SUM(F233:K233)</f>
        <v>3142723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703920</v>
      </c>
      <c r="G234" s="18">
        <v>320626</v>
      </c>
      <c r="H234" s="18">
        <f>-146953+1668105</f>
        <v>1521152</v>
      </c>
      <c r="I234" s="18">
        <v>15606</v>
      </c>
      <c r="J234" s="18">
        <v>1333</v>
      </c>
      <c r="K234" s="18">
        <v>0</v>
      </c>
      <c r="L234" s="19">
        <f>SUM(F234:K234)</f>
        <v>2562637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487873</v>
      </c>
      <c r="G235" s="18">
        <v>258321</v>
      </c>
      <c r="H235" s="18">
        <v>12327</v>
      </c>
      <c r="I235" s="18">
        <v>48044</v>
      </c>
      <c r="J235" s="18">
        <v>1523</v>
      </c>
      <c r="K235" s="18">
        <v>0</v>
      </c>
      <c r="L235" s="19">
        <f>SUM(F235:K235)</f>
        <v>808088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183203</v>
      </c>
      <c r="G236" s="18">
        <v>55511</v>
      </c>
      <c r="H236" s="18">
        <v>101525</v>
      </c>
      <c r="I236" s="18">
        <v>15326</v>
      </c>
      <c r="J236" s="18">
        <v>26461</v>
      </c>
      <c r="K236" s="18">
        <v>7765</v>
      </c>
      <c r="L236" s="19">
        <f>SUM(F236:K236)</f>
        <v>389791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380359</v>
      </c>
      <c r="G238" s="18">
        <v>188639</v>
      </c>
      <c r="H238" s="18">
        <v>7779</v>
      </c>
      <c r="I238" s="18">
        <v>3822</v>
      </c>
      <c r="J238" s="18">
        <v>1745</v>
      </c>
      <c r="K238" s="18">
        <v>1164</v>
      </c>
      <c r="L238" s="19">
        <f t="shared" ref="L238:L244" si="4">SUM(F238:K238)</f>
        <v>583508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101396</v>
      </c>
      <c r="G239" s="18">
        <v>37062</v>
      </c>
      <c r="H239" s="18">
        <v>52226</v>
      </c>
      <c r="I239" s="18">
        <v>14640</v>
      </c>
      <c r="J239" s="18">
        <v>99558</v>
      </c>
      <c r="K239" s="18">
        <v>2046</v>
      </c>
      <c r="L239" s="19">
        <f t="shared" si="4"/>
        <v>306928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2236</v>
      </c>
      <c r="G240" s="18">
        <v>191</v>
      </c>
      <c r="H240" s="18">
        <v>469144</v>
      </c>
      <c r="I240" s="18">
        <v>520</v>
      </c>
      <c r="J240" s="18">
        <v>0</v>
      </c>
      <c r="K240" s="18">
        <v>7538</v>
      </c>
      <c r="L240" s="19">
        <f t="shared" si="4"/>
        <v>479629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468268</v>
      </c>
      <c r="G241" s="18">
        <f>238827</f>
        <v>238827</v>
      </c>
      <c r="H241" s="18">
        <v>7140</v>
      </c>
      <c r="I241" s="18">
        <v>2646</v>
      </c>
      <c r="J241" s="18">
        <v>0</v>
      </c>
      <c r="K241" s="18">
        <v>5674</v>
      </c>
      <c r="L241" s="19">
        <f t="shared" si="4"/>
        <v>722555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/>
      <c r="H242" s="18"/>
      <c r="I242" s="18"/>
      <c r="J242" s="18">
        <v>0</v>
      </c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328017</v>
      </c>
      <c r="G243" s="18">
        <v>128211</v>
      </c>
      <c r="H243" s="18">
        <v>219595</v>
      </c>
      <c r="I243" s="18">
        <v>218924</v>
      </c>
      <c r="J243" s="18">
        <v>27724</v>
      </c>
      <c r="K243" s="18"/>
      <c r="L243" s="19">
        <f t="shared" si="4"/>
        <v>922471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151383</v>
      </c>
      <c r="G244" s="18">
        <v>48940</v>
      </c>
      <c r="H244" s="18">
        <f>146953+64777</f>
        <v>211730</v>
      </c>
      <c r="I244" s="18">
        <v>16248</v>
      </c>
      <c r="J244" s="18">
        <v>29207</v>
      </c>
      <c r="K244" s="18">
        <v>48</v>
      </c>
      <c r="L244" s="19">
        <f t="shared" si="4"/>
        <v>457556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4464900</v>
      </c>
      <c r="G247" s="41">
        <f t="shared" si="5"/>
        <v>2387587</v>
      </c>
      <c r="H247" s="41">
        <f t="shared" si="5"/>
        <v>2703639</v>
      </c>
      <c r="I247" s="41">
        <f t="shared" si="5"/>
        <v>494558</v>
      </c>
      <c r="J247" s="41">
        <f t="shared" si="5"/>
        <v>289171</v>
      </c>
      <c r="K247" s="41">
        <f t="shared" si="5"/>
        <v>36031</v>
      </c>
      <c r="L247" s="41">
        <f t="shared" si="5"/>
        <v>10375886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14591409</v>
      </c>
      <c r="G257" s="41">
        <f t="shared" si="8"/>
        <v>7382428</v>
      </c>
      <c r="H257" s="41">
        <f t="shared" si="8"/>
        <v>6615162</v>
      </c>
      <c r="I257" s="41">
        <f t="shared" si="8"/>
        <v>1204507</v>
      </c>
      <c r="J257" s="41">
        <f t="shared" si="8"/>
        <v>737892</v>
      </c>
      <c r="K257" s="41">
        <f t="shared" si="8"/>
        <v>70852</v>
      </c>
      <c r="L257" s="41">
        <f t="shared" si="8"/>
        <v>30602250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661631+330000</f>
        <v>991631</v>
      </c>
      <c r="L260" s="19">
        <f>SUM(F260:K260)</f>
        <v>991631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683171</v>
      </c>
      <c r="L261" s="19">
        <f>SUM(F261:K261)</f>
        <v>683171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47498</v>
      </c>
      <c r="L264" s="19">
        <f t="shared" ref="L264:L270" si="9">SUM(F264:K264)</f>
        <v>47498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102004</v>
      </c>
      <c r="L265" s="19">
        <f t="shared" si="9"/>
        <v>102004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1924304</v>
      </c>
      <c r="L270" s="41">
        <f t="shared" si="9"/>
        <v>1924304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14591409</v>
      </c>
      <c r="G271" s="42">
        <f t="shared" si="11"/>
        <v>7382428</v>
      </c>
      <c r="H271" s="42">
        <f t="shared" si="11"/>
        <v>6615162</v>
      </c>
      <c r="I271" s="42">
        <f t="shared" si="11"/>
        <v>1204507</v>
      </c>
      <c r="J271" s="42">
        <f t="shared" si="11"/>
        <v>737892</v>
      </c>
      <c r="K271" s="42">
        <f t="shared" si="11"/>
        <v>1995156</v>
      </c>
      <c r="L271" s="42">
        <f t="shared" si="11"/>
        <v>32526554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230179</v>
      </c>
      <c r="G276" s="18">
        <v>137440</v>
      </c>
      <c r="H276" s="18">
        <v>28140</v>
      </c>
      <c r="I276" s="18">
        <v>6890</v>
      </c>
      <c r="J276" s="18">
        <v>1084</v>
      </c>
      <c r="K276" s="18"/>
      <c r="L276" s="19">
        <f>SUM(F276:K276)</f>
        <v>403733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153470</v>
      </c>
      <c r="G277" s="18">
        <v>75121</v>
      </c>
      <c r="H277" s="18">
        <v>17557</v>
      </c>
      <c r="I277" s="18">
        <v>2794</v>
      </c>
      <c r="J277" s="18">
        <v>3833</v>
      </c>
      <c r="K277" s="18"/>
      <c r="L277" s="19">
        <f>SUM(F277:K277)</f>
        <v>252775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1707</v>
      </c>
      <c r="J279" s="18"/>
      <c r="K279" s="18"/>
      <c r="L279" s="19">
        <f>SUM(F279:K279)</f>
        <v>1707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59725</v>
      </c>
      <c r="G281" s="18">
        <v>10296</v>
      </c>
      <c r="H281" s="18">
        <v>30111</v>
      </c>
      <c r="I281" s="18">
        <v>19764</v>
      </c>
      <c r="J281" s="18">
        <v>3819</v>
      </c>
      <c r="K281" s="18"/>
      <c r="L281" s="19">
        <f t="shared" ref="L281:L287" si="12">SUM(F281:K281)</f>
        <v>123715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25595</v>
      </c>
      <c r="G282" s="18">
        <v>2980</v>
      </c>
      <c r="H282" s="18">
        <v>125720</v>
      </c>
      <c r="I282" s="18">
        <v>1795</v>
      </c>
      <c r="J282" s="18"/>
      <c r="K282" s="18"/>
      <c r="L282" s="19">
        <f t="shared" si="12"/>
        <v>156090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3403</v>
      </c>
      <c r="G283" s="18">
        <v>787</v>
      </c>
      <c r="H283" s="18">
        <v>309</v>
      </c>
      <c r="I283" s="18"/>
      <c r="J283" s="18"/>
      <c r="K283" s="18">
        <v>61</v>
      </c>
      <c r="L283" s="19">
        <f t="shared" si="12"/>
        <v>4560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14</v>
      </c>
      <c r="I284" s="18"/>
      <c r="J284" s="18"/>
      <c r="K284" s="18"/>
      <c r="L284" s="19">
        <f t="shared" si="12"/>
        <v>14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30703</v>
      </c>
      <c r="L285" s="19">
        <f t="shared" si="12"/>
        <v>30703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11379</v>
      </c>
      <c r="G288" s="18">
        <v>4067</v>
      </c>
      <c r="H288" s="18">
        <v>129</v>
      </c>
      <c r="I288" s="18">
        <v>95</v>
      </c>
      <c r="J288" s="18"/>
      <c r="K288" s="18"/>
      <c r="L288" s="19">
        <f>SUM(F288:K288)</f>
        <v>15670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483751</v>
      </c>
      <c r="G290" s="42">
        <f t="shared" si="13"/>
        <v>230691</v>
      </c>
      <c r="H290" s="42">
        <f t="shared" si="13"/>
        <v>201980</v>
      </c>
      <c r="I290" s="42">
        <f t="shared" si="13"/>
        <v>33045</v>
      </c>
      <c r="J290" s="42">
        <f t="shared" si="13"/>
        <v>8736</v>
      </c>
      <c r="K290" s="42">
        <f t="shared" si="13"/>
        <v>30764</v>
      </c>
      <c r="L290" s="41">
        <f t="shared" si="13"/>
        <v>988967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108055</v>
      </c>
      <c r="G295" s="18">
        <v>64520</v>
      </c>
      <c r="H295" s="18">
        <v>13210</v>
      </c>
      <c r="I295" s="18">
        <v>3235</v>
      </c>
      <c r="J295" s="18">
        <v>508</v>
      </c>
      <c r="K295" s="18"/>
      <c r="L295" s="19">
        <f>SUM(F295:K295)</f>
        <v>189528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64389</v>
      </c>
      <c r="G296" s="18">
        <v>34589</v>
      </c>
      <c r="H296" s="18">
        <v>8242</v>
      </c>
      <c r="I296" s="18">
        <v>1312</v>
      </c>
      <c r="J296" s="18">
        <v>1799</v>
      </c>
      <c r="K296" s="18"/>
      <c r="L296" s="19">
        <f>SUM(F296:K296)</f>
        <v>110331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1904</v>
      </c>
      <c r="G298" s="18">
        <v>144</v>
      </c>
      <c r="H298" s="18">
        <v>269</v>
      </c>
      <c r="I298" s="18">
        <v>3815</v>
      </c>
      <c r="J298" s="18"/>
      <c r="K298" s="18">
        <v>2540</v>
      </c>
      <c r="L298" s="19">
        <f>SUM(F298:K298)</f>
        <v>8672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28037</v>
      </c>
      <c r="G300" s="18">
        <v>4833</v>
      </c>
      <c r="H300" s="18">
        <v>13950</v>
      </c>
      <c r="I300" s="18">
        <v>9278</v>
      </c>
      <c r="J300" s="18">
        <v>3793</v>
      </c>
      <c r="K300" s="18"/>
      <c r="L300" s="19">
        <f t="shared" ref="L300:L306" si="14">SUM(F300:K300)</f>
        <v>59891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10736</v>
      </c>
      <c r="G301" s="18">
        <v>1124</v>
      </c>
      <c r="H301" s="18">
        <v>48893</v>
      </c>
      <c r="I301" s="18">
        <v>842</v>
      </c>
      <c r="J301" s="18"/>
      <c r="K301" s="18"/>
      <c r="L301" s="19">
        <f t="shared" si="14"/>
        <v>61595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1597</v>
      </c>
      <c r="G302" s="18">
        <v>370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1967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>
        <v>7</v>
      </c>
      <c r="I303" s="18"/>
      <c r="J303" s="18"/>
      <c r="K303" s="18"/>
      <c r="L303" s="19">
        <f t="shared" si="14"/>
        <v>7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14413</v>
      </c>
      <c r="L304" s="19">
        <f t="shared" si="14"/>
        <v>14413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5342</v>
      </c>
      <c r="G307" s="18">
        <v>1909</v>
      </c>
      <c r="H307" s="18">
        <v>60</v>
      </c>
      <c r="I307" s="18">
        <v>44</v>
      </c>
      <c r="J307" s="18"/>
      <c r="K307" s="18"/>
      <c r="L307" s="19">
        <f>SUM(F307:K307)</f>
        <v>7355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220060</v>
      </c>
      <c r="G309" s="42">
        <f t="shared" si="15"/>
        <v>107489</v>
      </c>
      <c r="H309" s="42">
        <f t="shared" si="15"/>
        <v>84631</v>
      </c>
      <c r="I309" s="42">
        <f t="shared" si="15"/>
        <v>18526</v>
      </c>
      <c r="J309" s="42">
        <f t="shared" si="15"/>
        <v>6100</v>
      </c>
      <c r="K309" s="42">
        <f t="shared" si="15"/>
        <v>16953</v>
      </c>
      <c r="L309" s="41">
        <f t="shared" si="15"/>
        <v>453759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83132</v>
      </c>
      <c r="G315" s="18">
        <v>44657</v>
      </c>
      <c r="H315" s="18">
        <v>10641</v>
      </c>
      <c r="I315" s="18">
        <v>1693</v>
      </c>
      <c r="J315" s="18">
        <v>2323</v>
      </c>
      <c r="K315" s="18"/>
      <c r="L315" s="19">
        <f>SUM(F315:K315)</f>
        <v>142446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30344</v>
      </c>
      <c r="I316" s="18">
        <v>11240</v>
      </c>
      <c r="J316" s="18">
        <v>28709</v>
      </c>
      <c r="K316" s="18">
        <v>2750</v>
      </c>
      <c r="L316" s="19">
        <f>SUM(F316:K316)</f>
        <v>73043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42344</v>
      </c>
      <c r="G319" s="18">
        <v>11552</v>
      </c>
      <c r="H319" s="18">
        <v>94550</v>
      </c>
      <c r="I319" s="18">
        <v>4694</v>
      </c>
      <c r="J319" s="18">
        <v>0</v>
      </c>
      <c r="K319" s="18">
        <v>2292</v>
      </c>
      <c r="L319" s="19">
        <f t="shared" ref="L319:L325" si="16">SUM(F319:K319)</f>
        <v>155432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11861</v>
      </c>
      <c r="G320" s="18">
        <v>991</v>
      </c>
      <c r="H320" s="18">
        <v>24137</v>
      </c>
      <c r="I320" s="18">
        <v>2094</v>
      </c>
      <c r="J320" s="18"/>
      <c r="K320" s="18"/>
      <c r="L320" s="19">
        <f t="shared" si="16"/>
        <v>39083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10000</v>
      </c>
      <c r="G321" s="18">
        <v>4150</v>
      </c>
      <c r="H321" s="18">
        <v>4398</v>
      </c>
      <c r="I321" s="18"/>
      <c r="J321" s="18"/>
      <c r="K321" s="18"/>
      <c r="L321" s="19">
        <f t="shared" si="16"/>
        <v>18548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9</v>
      </c>
      <c r="I322" s="18"/>
      <c r="J322" s="18"/>
      <c r="K322" s="18"/>
      <c r="L322" s="19">
        <f t="shared" si="16"/>
        <v>9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10192</v>
      </c>
      <c r="L323" s="19">
        <f t="shared" si="16"/>
        <v>10192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6897</v>
      </c>
      <c r="G326" s="18">
        <v>2465</v>
      </c>
      <c r="H326" s="18">
        <v>78</v>
      </c>
      <c r="I326" s="18">
        <v>57</v>
      </c>
      <c r="J326" s="18"/>
      <c r="K326" s="18"/>
      <c r="L326" s="19">
        <f>SUM(F326:K326)</f>
        <v>9497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154234</v>
      </c>
      <c r="G328" s="42">
        <f t="shared" si="17"/>
        <v>63815</v>
      </c>
      <c r="H328" s="42">
        <f t="shared" si="17"/>
        <v>164157</v>
      </c>
      <c r="I328" s="42">
        <f t="shared" si="17"/>
        <v>19778</v>
      </c>
      <c r="J328" s="42">
        <f t="shared" si="17"/>
        <v>31032</v>
      </c>
      <c r="K328" s="42">
        <f t="shared" si="17"/>
        <v>15234</v>
      </c>
      <c r="L328" s="41">
        <f t="shared" si="17"/>
        <v>448250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88008</v>
      </c>
      <c r="G333" s="18">
        <v>29365</v>
      </c>
      <c r="H333" s="18">
        <v>2721</v>
      </c>
      <c r="I333" s="18">
        <v>5190</v>
      </c>
      <c r="J333" s="18"/>
      <c r="K333" s="18"/>
      <c r="L333" s="19">
        <f t="shared" si="18"/>
        <v>125284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88008</v>
      </c>
      <c r="G337" s="41">
        <f t="shared" si="19"/>
        <v>29365</v>
      </c>
      <c r="H337" s="41">
        <f t="shared" si="19"/>
        <v>2721</v>
      </c>
      <c r="I337" s="41">
        <f t="shared" si="19"/>
        <v>5190</v>
      </c>
      <c r="J337" s="41">
        <f t="shared" si="19"/>
        <v>0</v>
      </c>
      <c r="K337" s="41">
        <f t="shared" si="19"/>
        <v>0</v>
      </c>
      <c r="L337" s="41">
        <f t="shared" si="18"/>
        <v>125284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946053</v>
      </c>
      <c r="G338" s="41">
        <f t="shared" si="20"/>
        <v>431360</v>
      </c>
      <c r="H338" s="41">
        <f t="shared" si="20"/>
        <v>453489</v>
      </c>
      <c r="I338" s="41">
        <f t="shared" si="20"/>
        <v>76539</v>
      </c>
      <c r="J338" s="41">
        <f t="shared" si="20"/>
        <v>45868</v>
      </c>
      <c r="K338" s="41">
        <f t="shared" si="20"/>
        <v>62951</v>
      </c>
      <c r="L338" s="41">
        <f t="shared" si="20"/>
        <v>2016260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946053</v>
      </c>
      <c r="G352" s="41">
        <f>G338</f>
        <v>431360</v>
      </c>
      <c r="H352" s="41">
        <f>H338</f>
        <v>453489</v>
      </c>
      <c r="I352" s="41">
        <f>I338</f>
        <v>76539</v>
      </c>
      <c r="J352" s="41">
        <f>J338</f>
        <v>45868</v>
      </c>
      <c r="K352" s="47">
        <f>K338+K351</f>
        <v>62951</v>
      </c>
      <c r="L352" s="41">
        <f>L338+L351</f>
        <v>2016260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91802</v>
      </c>
      <c r="G358" s="18">
        <v>14810</v>
      </c>
      <c r="H358" s="18">
        <v>3230</v>
      </c>
      <c r="I358" s="18">
        <v>204708</v>
      </c>
      <c r="J358" s="18">
        <v>2971</v>
      </c>
      <c r="K358" s="18">
        <v>58</v>
      </c>
      <c r="L358" s="13">
        <f>SUM(F358:K358)</f>
        <v>317579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41837</v>
      </c>
      <c r="G359" s="18">
        <v>6865</v>
      </c>
      <c r="H359" s="18">
        <v>1520</v>
      </c>
      <c r="I359" s="18">
        <v>75217</v>
      </c>
      <c r="J359" s="18">
        <v>1398</v>
      </c>
      <c r="K359" s="18">
        <v>27</v>
      </c>
      <c r="L359" s="19">
        <f>SUM(F359:K359)</f>
        <v>126864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54015</v>
      </c>
      <c r="G360" s="18">
        <v>8863</v>
      </c>
      <c r="H360" s="18">
        <v>1962</v>
      </c>
      <c r="I360" s="18">
        <v>97111</v>
      </c>
      <c r="J360" s="18">
        <v>1805</v>
      </c>
      <c r="K360" s="18">
        <v>35</v>
      </c>
      <c r="L360" s="19">
        <f>SUM(F360:K360)</f>
        <v>163791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187654</v>
      </c>
      <c r="G362" s="47">
        <f t="shared" si="22"/>
        <v>30538</v>
      </c>
      <c r="H362" s="47">
        <f t="shared" si="22"/>
        <v>6712</v>
      </c>
      <c r="I362" s="47">
        <f t="shared" si="22"/>
        <v>377036</v>
      </c>
      <c r="J362" s="47">
        <f t="shared" si="22"/>
        <v>6174</v>
      </c>
      <c r="K362" s="47">
        <f t="shared" si="22"/>
        <v>120</v>
      </c>
      <c r="L362" s="47">
        <f t="shared" si="22"/>
        <v>608234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15392</v>
      </c>
      <c r="G367" s="18">
        <f>4762+66</f>
        <v>4828</v>
      </c>
      <c r="H367" s="18">
        <f>86+6148</f>
        <v>6234</v>
      </c>
      <c r="I367" s="56">
        <f>SUM(F367:H367)</f>
        <v>26454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189316</v>
      </c>
      <c r="G368" s="63">
        <v>70389</v>
      </c>
      <c r="H368" s="63">
        <v>90877</v>
      </c>
      <c r="I368" s="56">
        <f>SUM(F368:H368)</f>
        <v>350582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204708</v>
      </c>
      <c r="G369" s="47">
        <f>SUM(G367:G368)</f>
        <v>75217</v>
      </c>
      <c r="H369" s="47">
        <f>SUM(H367:H368)</f>
        <v>97111</v>
      </c>
      <c r="I369" s="47">
        <f>SUM(I367:I368)</f>
        <v>377036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102004</v>
      </c>
      <c r="I378" s="18"/>
      <c r="J378" s="18"/>
      <c r="K378" s="18"/>
      <c r="L378" s="13">
        <f t="shared" si="23"/>
        <v>102004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102004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102004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100000</v>
      </c>
      <c r="H389" s="18"/>
      <c r="I389" s="18"/>
      <c r="J389" s="24" t="s">
        <v>289</v>
      </c>
      <c r="K389" s="24" t="s">
        <v>289</v>
      </c>
      <c r="L389" s="56">
        <f t="shared" si="25"/>
        <v>100000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394009</v>
      </c>
      <c r="H442" s="18"/>
      <c r="I442" s="56">
        <f t="shared" si="33"/>
        <v>394009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394009</v>
      </c>
      <c r="H446" s="13">
        <f>SUM(H439:H445)</f>
        <v>0</v>
      </c>
      <c r="I446" s="13">
        <f>SUM(I439:I445)</f>
        <v>394009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394009</v>
      </c>
      <c r="H459" s="18"/>
      <c r="I459" s="56">
        <f t="shared" si="34"/>
        <v>394009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394009</v>
      </c>
      <c r="H460" s="83">
        <f>SUM(H454:H459)</f>
        <v>0</v>
      </c>
      <c r="I460" s="83">
        <f>SUM(I454:I459)</f>
        <v>394009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394009</v>
      </c>
      <c r="H461" s="42">
        <f>H452+H460</f>
        <v>0</v>
      </c>
      <c r="I461" s="42">
        <f>I452+I460</f>
        <v>394009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1863776</v>
      </c>
      <c r="G465" s="18">
        <v>11741</v>
      </c>
      <c r="H465" s="18">
        <v>287825</v>
      </c>
      <c r="I465" s="18">
        <v>737</v>
      </c>
      <c r="J465" s="18">
        <v>294009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31546813</v>
      </c>
      <c r="G468" s="18">
        <f>G193</f>
        <v>647956</v>
      </c>
      <c r="H468" s="18">
        <f>H193</f>
        <v>2010773</v>
      </c>
      <c r="I468" s="18">
        <v>102004</v>
      </c>
      <c r="J468" s="18">
        <v>100000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31546813</v>
      </c>
      <c r="G470" s="53">
        <f>SUM(G468:G469)</f>
        <v>647956</v>
      </c>
      <c r="H470" s="53">
        <f>SUM(H468:H469)</f>
        <v>2010773</v>
      </c>
      <c r="I470" s="53">
        <f>SUM(I468:I469)</f>
        <v>102004</v>
      </c>
      <c r="J470" s="53">
        <f>SUM(J468:J469)</f>
        <v>100000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32526554</v>
      </c>
      <c r="G472" s="18">
        <f>L362</f>
        <v>608234</v>
      </c>
      <c r="H472" s="18">
        <f>L352</f>
        <v>2016260</v>
      </c>
      <c r="I472" s="18">
        <v>102004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32526554</v>
      </c>
      <c r="G474" s="53">
        <f>SUM(G472:G473)</f>
        <v>608234</v>
      </c>
      <c r="H474" s="53">
        <f>SUM(H472:H473)</f>
        <v>2016260</v>
      </c>
      <c r="I474" s="53">
        <f>SUM(I472:I473)</f>
        <v>102004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884035</v>
      </c>
      <c r="G476" s="53">
        <f>(G465+G470)- G474</f>
        <v>51463</v>
      </c>
      <c r="H476" s="53">
        <f>(H465+H470)- H474</f>
        <v>282338</v>
      </c>
      <c r="I476" s="53">
        <f>(I465+I470)- I474</f>
        <v>737</v>
      </c>
      <c r="J476" s="53">
        <f>(J465+J470)- J474</f>
        <v>394009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11195000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11630000</v>
      </c>
      <c r="G495" s="18"/>
      <c r="H495" s="18"/>
      <c r="I495" s="18"/>
      <c r="J495" s="18"/>
      <c r="K495" s="53">
        <f>SUM(F495:J495)</f>
        <v>11630000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565000</v>
      </c>
      <c r="G497" s="18"/>
      <c r="H497" s="18"/>
      <c r="I497" s="18"/>
      <c r="J497" s="18"/>
      <c r="K497" s="53">
        <f t="shared" si="35"/>
        <v>565000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11065000</v>
      </c>
      <c r="G498" s="204"/>
      <c r="H498" s="204"/>
      <c r="I498" s="204"/>
      <c r="J498" s="204"/>
      <c r="K498" s="205">
        <f t="shared" si="35"/>
        <v>11065000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4693313</v>
      </c>
      <c r="G499" s="18"/>
      <c r="H499" s="18"/>
      <c r="I499" s="18"/>
      <c r="J499" s="18"/>
      <c r="K499" s="53">
        <f t="shared" si="35"/>
        <v>4693313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15758313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15758313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565000</v>
      </c>
      <c r="G501" s="204"/>
      <c r="H501" s="204"/>
      <c r="I501" s="204"/>
      <c r="J501" s="204"/>
      <c r="K501" s="205">
        <f t="shared" si="35"/>
        <v>565000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380554</v>
      </c>
      <c r="G502" s="18"/>
      <c r="H502" s="18"/>
      <c r="I502" s="18"/>
      <c r="J502" s="18"/>
      <c r="K502" s="53">
        <f t="shared" si="35"/>
        <v>380554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945554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945554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</f>
        <v>1946430</v>
      </c>
      <c r="G521" s="18">
        <f t="shared" ref="G521:K521" si="36">G198+G277</f>
        <v>715591</v>
      </c>
      <c r="H521" s="18">
        <f t="shared" si="36"/>
        <v>1036409</v>
      </c>
      <c r="I521" s="18">
        <f t="shared" si="36"/>
        <v>24885</v>
      </c>
      <c r="J521" s="18">
        <f t="shared" si="36"/>
        <v>6497</v>
      </c>
      <c r="K521" s="18">
        <f t="shared" si="36"/>
        <v>0</v>
      </c>
      <c r="L521" s="88">
        <f>SUM(F521:K521)</f>
        <v>3729812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</f>
        <v>849130</v>
      </c>
      <c r="G522" s="18">
        <f t="shared" ref="G522:K522" si="37">G216+G296</f>
        <v>334078</v>
      </c>
      <c r="H522" s="18">
        <f t="shared" si="37"/>
        <v>583815</v>
      </c>
      <c r="I522" s="18">
        <f t="shared" si="37"/>
        <v>15115</v>
      </c>
      <c r="J522" s="18">
        <f t="shared" si="37"/>
        <v>3031</v>
      </c>
      <c r="K522" s="18">
        <f t="shared" si="37"/>
        <v>0</v>
      </c>
      <c r="L522" s="88">
        <f>SUM(F522:K522)</f>
        <v>1785169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</f>
        <v>787052</v>
      </c>
      <c r="G523" s="18">
        <f t="shared" ref="G523:K523" si="38">G234+G315</f>
        <v>365283</v>
      </c>
      <c r="H523" s="18">
        <f t="shared" si="38"/>
        <v>1531793</v>
      </c>
      <c r="I523" s="18">
        <f t="shared" si="38"/>
        <v>17299</v>
      </c>
      <c r="J523" s="18">
        <f t="shared" si="38"/>
        <v>3656</v>
      </c>
      <c r="K523" s="18">
        <f t="shared" si="38"/>
        <v>0</v>
      </c>
      <c r="L523" s="88">
        <f>SUM(F523:K523)</f>
        <v>2705083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3582612</v>
      </c>
      <c r="G524" s="108">
        <f t="shared" ref="G524:L524" si="39">SUM(G521:G523)</f>
        <v>1414952</v>
      </c>
      <c r="H524" s="108">
        <f t="shared" si="39"/>
        <v>3152017</v>
      </c>
      <c r="I524" s="108">
        <f t="shared" si="39"/>
        <v>57299</v>
      </c>
      <c r="J524" s="108">
        <f t="shared" si="39"/>
        <v>13184</v>
      </c>
      <c r="K524" s="108">
        <f t="shared" si="39"/>
        <v>0</v>
      </c>
      <c r="L524" s="89">
        <f t="shared" si="39"/>
        <v>8220064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321323</v>
      </c>
      <c r="G526" s="18">
        <v>101971</v>
      </c>
      <c r="H526" s="18">
        <v>38370</v>
      </c>
      <c r="I526" s="18">
        <v>18258</v>
      </c>
      <c r="J526" s="18">
        <v>4388</v>
      </c>
      <c r="K526" s="18">
        <v>0</v>
      </c>
      <c r="L526" s="88">
        <f>SUM(F526:K526)</f>
        <v>484310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239364</v>
      </c>
      <c r="G527" s="18">
        <v>94246</v>
      </c>
      <c r="H527" s="18">
        <v>15807</v>
      </c>
      <c r="I527" s="18">
        <v>13647</v>
      </c>
      <c r="J527" s="18">
        <v>2896</v>
      </c>
      <c r="K527" s="18">
        <v>0</v>
      </c>
      <c r="L527" s="88">
        <f>SUM(F527:K527)</f>
        <v>365960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380203</v>
      </c>
      <c r="G528" s="18">
        <v>177691</v>
      </c>
      <c r="H528" s="18">
        <v>101904</v>
      </c>
      <c r="I528" s="18">
        <v>7941</v>
      </c>
      <c r="J528" s="18">
        <v>1595</v>
      </c>
      <c r="K528" s="18">
        <v>3456</v>
      </c>
      <c r="L528" s="88">
        <f>SUM(F528:K528)</f>
        <v>672790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940890</v>
      </c>
      <c r="G529" s="89">
        <f t="shared" ref="G529:L529" si="40">SUM(G526:G528)</f>
        <v>373908</v>
      </c>
      <c r="H529" s="89">
        <f t="shared" si="40"/>
        <v>156081</v>
      </c>
      <c r="I529" s="89">
        <f t="shared" si="40"/>
        <v>39846</v>
      </c>
      <c r="J529" s="89">
        <f t="shared" si="40"/>
        <v>8879</v>
      </c>
      <c r="K529" s="89">
        <f t="shared" si="40"/>
        <v>3456</v>
      </c>
      <c r="L529" s="89">
        <f t="shared" si="40"/>
        <v>1523060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47903</v>
      </c>
      <c r="G531" s="18">
        <v>26220</v>
      </c>
      <c r="H531" s="18">
        <v>989</v>
      </c>
      <c r="I531" s="18">
        <v>195</v>
      </c>
      <c r="J531" s="18">
        <v>805</v>
      </c>
      <c r="K531" s="18"/>
      <c r="L531" s="88">
        <f>SUM(F531:K531)</f>
        <v>76112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22487</v>
      </c>
      <c r="G532" s="18">
        <v>12309</v>
      </c>
      <c r="H532" s="18">
        <v>464</v>
      </c>
      <c r="I532" s="18">
        <v>91</v>
      </c>
      <c r="J532" s="18">
        <v>379</v>
      </c>
      <c r="K532" s="18"/>
      <c r="L532" s="88">
        <f>SUM(F532:K532)</f>
        <v>35730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29042</v>
      </c>
      <c r="G533" s="18">
        <v>15892</v>
      </c>
      <c r="H533" s="18">
        <v>600</v>
      </c>
      <c r="I533" s="18">
        <v>118</v>
      </c>
      <c r="J533" s="18">
        <v>487</v>
      </c>
      <c r="K533" s="18"/>
      <c r="L533" s="88">
        <f>SUM(F533:K533)</f>
        <v>46139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99432</v>
      </c>
      <c r="G534" s="89">
        <f t="shared" ref="G534:L534" si="41">SUM(G531:G533)</f>
        <v>54421</v>
      </c>
      <c r="H534" s="89">
        <f t="shared" si="41"/>
        <v>2053</v>
      </c>
      <c r="I534" s="89">
        <f t="shared" si="41"/>
        <v>404</v>
      </c>
      <c r="J534" s="89">
        <f t="shared" si="41"/>
        <v>1671</v>
      </c>
      <c r="K534" s="89">
        <f t="shared" si="41"/>
        <v>0</v>
      </c>
      <c r="L534" s="89">
        <f t="shared" si="41"/>
        <v>157981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4462</v>
      </c>
      <c r="I536" s="18"/>
      <c r="J536" s="18"/>
      <c r="K536" s="18"/>
      <c r="L536" s="88">
        <f>SUM(F536:K536)</f>
        <v>4462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2095</v>
      </c>
      <c r="I537" s="18"/>
      <c r="J537" s="18"/>
      <c r="K537" s="18"/>
      <c r="L537" s="88">
        <f>SUM(F537:K537)</f>
        <v>2095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2705</v>
      </c>
      <c r="I538" s="18"/>
      <c r="J538" s="18"/>
      <c r="K538" s="18"/>
      <c r="L538" s="88">
        <f>SUM(F538:K538)</f>
        <v>2705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9262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9262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51967</v>
      </c>
      <c r="I541" s="18"/>
      <c r="J541" s="18"/>
      <c r="K541" s="18"/>
      <c r="L541" s="88">
        <f>SUM(F541:K541)</f>
        <v>51967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62324</v>
      </c>
      <c r="I542" s="18"/>
      <c r="J542" s="18"/>
      <c r="K542" s="18"/>
      <c r="L542" s="88">
        <f>SUM(F542:K542)</f>
        <v>62324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146953</v>
      </c>
      <c r="I543" s="18"/>
      <c r="J543" s="18"/>
      <c r="K543" s="18"/>
      <c r="L543" s="88">
        <f>SUM(F543:K543)</f>
        <v>146953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261244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261244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4622934</v>
      </c>
      <c r="G545" s="89">
        <f t="shared" ref="G545:L545" si="44">G524+G529+G534+G539+G544</f>
        <v>1843281</v>
      </c>
      <c r="H545" s="89">
        <f t="shared" si="44"/>
        <v>3580657</v>
      </c>
      <c r="I545" s="89">
        <f t="shared" si="44"/>
        <v>97549</v>
      </c>
      <c r="J545" s="89">
        <f t="shared" si="44"/>
        <v>23734</v>
      </c>
      <c r="K545" s="89">
        <f t="shared" si="44"/>
        <v>3456</v>
      </c>
      <c r="L545" s="89">
        <f t="shared" si="44"/>
        <v>10171611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3729812</v>
      </c>
      <c r="G549" s="87">
        <f>L526</f>
        <v>484310</v>
      </c>
      <c r="H549" s="87">
        <f>L531</f>
        <v>76112</v>
      </c>
      <c r="I549" s="87">
        <f>L536</f>
        <v>4462</v>
      </c>
      <c r="J549" s="87">
        <f>L541</f>
        <v>51967</v>
      </c>
      <c r="K549" s="87">
        <f>SUM(F549:J549)</f>
        <v>4346663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1785169</v>
      </c>
      <c r="G550" s="87">
        <f>L527</f>
        <v>365960</v>
      </c>
      <c r="H550" s="87">
        <f>L532</f>
        <v>35730</v>
      </c>
      <c r="I550" s="87">
        <f>L537</f>
        <v>2095</v>
      </c>
      <c r="J550" s="87">
        <f>L542</f>
        <v>62324</v>
      </c>
      <c r="K550" s="87">
        <f>SUM(F550:J550)</f>
        <v>2251278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2705083</v>
      </c>
      <c r="G551" s="87">
        <f>L528</f>
        <v>672790</v>
      </c>
      <c r="H551" s="87">
        <f>L533</f>
        <v>46139</v>
      </c>
      <c r="I551" s="87">
        <f>L538</f>
        <v>2705</v>
      </c>
      <c r="J551" s="87">
        <f>L543</f>
        <v>146953</v>
      </c>
      <c r="K551" s="87">
        <f>SUM(F551:J551)</f>
        <v>3573670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8220064</v>
      </c>
      <c r="G552" s="89">
        <f t="shared" si="45"/>
        <v>1523060</v>
      </c>
      <c r="H552" s="89">
        <f t="shared" si="45"/>
        <v>157981</v>
      </c>
      <c r="I552" s="89">
        <f t="shared" si="45"/>
        <v>9262</v>
      </c>
      <c r="J552" s="89">
        <f t="shared" si="45"/>
        <v>261244</v>
      </c>
      <c r="K552" s="89">
        <f t="shared" si="45"/>
        <v>10171611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9">G560+G565+G570</f>
        <v>0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32282</v>
      </c>
      <c r="I575" s="87">
        <f>SUM(F575:H575)</f>
        <v>32282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61491</v>
      </c>
      <c r="I579" s="87">
        <f t="shared" si="50"/>
        <v>61491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611982</v>
      </c>
      <c r="G582" s="18">
        <f>161662+6452+210166</f>
        <v>378280</v>
      </c>
      <c r="H582" s="18">
        <v>1211184</v>
      </c>
      <c r="I582" s="87">
        <f t="shared" si="50"/>
        <v>2201446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24055</v>
      </c>
      <c r="I584" s="87">
        <f t="shared" si="50"/>
        <v>24055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472338</v>
      </c>
      <c r="I591" s="18">
        <v>221257</v>
      </c>
      <c r="J591" s="18">
        <v>217551</v>
      </c>
      <c r="K591" s="104">
        <f t="shared" ref="K591:K597" si="51">SUM(H591:J591)</f>
        <v>911146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51967</v>
      </c>
      <c r="I592" s="18">
        <f>62324</f>
        <v>62324</v>
      </c>
      <c r="J592" s="18">
        <f>146953</f>
        <v>146953</v>
      </c>
      <c r="K592" s="104">
        <f t="shared" si="51"/>
        <v>261244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52568</v>
      </c>
      <c r="K593" s="104">
        <f t="shared" si="51"/>
        <v>52568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5875</v>
      </c>
      <c r="J594" s="18">
        <v>28959</v>
      </c>
      <c r="K594" s="104">
        <f t="shared" si="51"/>
        <v>34834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12526</v>
      </c>
      <c r="I595" s="18">
        <v>10525</v>
      </c>
      <c r="J595" s="18">
        <v>11525</v>
      </c>
      <c r="K595" s="104">
        <f t="shared" si="51"/>
        <v>34576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536831</v>
      </c>
      <c r="I598" s="108">
        <f>SUM(I591:I597)</f>
        <v>299981</v>
      </c>
      <c r="J598" s="108">
        <f>SUM(J591:J597)</f>
        <v>457556</v>
      </c>
      <c r="K598" s="108">
        <f>SUM(K591:K597)</f>
        <v>1294368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294836</v>
      </c>
      <c r="I604" s="18">
        <f>J229+J309</f>
        <v>168721</v>
      </c>
      <c r="J604" s="18">
        <f>J247+J328</f>
        <v>320203</v>
      </c>
      <c r="K604" s="104">
        <f>SUM(H604:J604)</f>
        <v>783760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294836</v>
      </c>
      <c r="I605" s="108">
        <f>SUM(I602:I604)</f>
        <v>168721</v>
      </c>
      <c r="J605" s="108">
        <f>SUM(J602:J604)</f>
        <v>320203</v>
      </c>
      <c r="K605" s="108">
        <f>SUM(K602:K604)</f>
        <v>783760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4804</v>
      </c>
      <c r="G612" s="18">
        <v>685</v>
      </c>
      <c r="H612" s="18">
        <v>0</v>
      </c>
      <c r="I612" s="18"/>
      <c r="J612" s="18"/>
      <c r="K612" s="18"/>
      <c r="L612" s="88">
        <f>SUM(F612:K612)</f>
        <v>5489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4804</v>
      </c>
      <c r="G614" s="108">
        <f t="shared" si="52"/>
        <v>685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5489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1708477</v>
      </c>
      <c r="H617" s="109">
        <f>SUM(F52)</f>
        <v>1708477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80955</v>
      </c>
      <c r="H618" s="109">
        <f>SUM(G52)</f>
        <v>80955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703940</v>
      </c>
      <c r="H619" s="109">
        <f>SUM(H52)</f>
        <v>703940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374972</v>
      </c>
      <c r="H620" s="109">
        <f>SUM(I52)</f>
        <v>374972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394009</v>
      </c>
      <c r="H621" s="109">
        <f>SUM(J52)</f>
        <v>394009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884035</v>
      </c>
      <c r="H622" s="109">
        <f>F476</f>
        <v>884035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51463</v>
      </c>
      <c r="H623" s="109">
        <f>G476</f>
        <v>51463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282338</v>
      </c>
      <c r="H624" s="109">
        <f>H476</f>
        <v>282338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737</v>
      </c>
      <c r="H625" s="109">
        <f>I476</f>
        <v>737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394009</v>
      </c>
      <c r="H626" s="109">
        <f>J476</f>
        <v>394009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31546813</v>
      </c>
      <c r="H627" s="104">
        <f>SUM(F468)</f>
        <v>31546813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647956</v>
      </c>
      <c r="H628" s="104">
        <f>SUM(G468)</f>
        <v>647956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2010773</v>
      </c>
      <c r="H629" s="104">
        <f>SUM(H468)</f>
        <v>2010773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102004</v>
      </c>
      <c r="H630" s="104">
        <f>SUM(I468)</f>
        <v>102004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32526554</v>
      </c>
      <c r="H632" s="104">
        <f>SUM(F472)</f>
        <v>32526554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2016260</v>
      </c>
      <c r="H633" s="104">
        <f>SUM(H472)</f>
        <v>2016260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377036</v>
      </c>
      <c r="H634" s="104">
        <f>I369</f>
        <v>377036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608234</v>
      </c>
      <c r="H635" s="104">
        <f>SUM(G472)</f>
        <v>608234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102004</v>
      </c>
      <c r="H636" s="104">
        <f>SUM(I472)</f>
        <v>102004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394009</v>
      </c>
      <c r="H640" s="104">
        <f>SUM(G461)</f>
        <v>394009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394009</v>
      </c>
      <c r="H642" s="104">
        <f>SUM(I461)</f>
        <v>394009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100000</v>
      </c>
      <c r="H646" s="104">
        <f>L408</f>
        <v>100000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1294368</v>
      </c>
      <c r="H647" s="104">
        <f>L208+L226+L244</f>
        <v>1294368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783760</v>
      </c>
      <c r="H648" s="104">
        <f>(J257+J338)-(J255+J336)</f>
        <v>783760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536831</v>
      </c>
      <c r="H649" s="104">
        <f>H598</f>
        <v>536831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299981</v>
      </c>
      <c r="H650" s="104">
        <f>I598</f>
        <v>299981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457556</v>
      </c>
      <c r="H651" s="104">
        <f>J598</f>
        <v>457556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47498</v>
      </c>
      <c r="H653" s="104">
        <f>K264</f>
        <v>47498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102004</v>
      </c>
      <c r="H654" s="104">
        <f>K265+K346</f>
        <v>102004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14803174</v>
      </c>
      <c r="G660" s="19">
        <f>(L229+L309+L359)</f>
        <v>7310359</v>
      </c>
      <c r="H660" s="19">
        <f>(L247+L328+L360)</f>
        <v>10987927</v>
      </c>
      <c r="I660" s="19">
        <f>SUM(F660:H660)</f>
        <v>33101460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62902.920367818966</v>
      </c>
      <c r="G661" s="19">
        <f>(L359/IF(SUM(L358:L360)=0,1,SUM(L358:L360))*(SUM(G97:G110)))</f>
        <v>25127.971589881527</v>
      </c>
      <c r="H661" s="19">
        <f>(L360/IF(SUM(L358:L360)=0,1,SUM(L358:L360))*(SUM(G97:G110)))</f>
        <v>32442.108042299507</v>
      </c>
      <c r="I661" s="19">
        <f>SUM(F661:H661)</f>
        <v>120473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487427</v>
      </c>
      <c r="G662" s="19">
        <f>(L226+L306)-(J226+J306)</f>
        <v>277359</v>
      </c>
      <c r="H662" s="19">
        <f>(L244+L325)-(J244+J325)</f>
        <v>428349</v>
      </c>
      <c r="I662" s="19">
        <f>SUM(F662:H662)</f>
        <v>1193135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906818</v>
      </c>
      <c r="G663" s="199">
        <f>SUM(G575:G587)+SUM(I602:I604)+L612</f>
        <v>552490</v>
      </c>
      <c r="H663" s="199">
        <f>SUM(H575:H587)+SUM(J602:J604)+L613</f>
        <v>1649215</v>
      </c>
      <c r="I663" s="19">
        <f>SUM(F663:H663)</f>
        <v>3108523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13346026.079632182</v>
      </c>
      <c r="G664" s="19">
        <f>G660-SUM(G661:G663)</f>
        <v>6455382.0284101181</v>
      </c>
      <c r="H664" s="19">
        <f>H660-SUM(H661:H663)</f>
        <v>8877920.8919577003</v>
      </c>
      <c r="I664" s="19">
        <f>I660-SUM(I661:I663)</f>
        <v>28679329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836.66</v>
      </c>
      <c r="G665" s="248">
        <v>393.7</v>
      </c>
      <c r="H665" s="248">
        <v>508.3</v>
      </c>
      <c r="I665" s="19">
        <f>SUM(F665:H665)</f>
        <v>1738.6599999999999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15951.55</v>
      </c>
      <c r="G667" s="19">
        <f>ROUND(G664/G665,2)</f>
        <v>16396.7</v>
      </c>
      <c r="H667" s="19">
        <f>ROUND(H664/H665,2)</f>
        <v>17465.91</v>
      </c>
      <c r="I667" s="19">
        <f>ROUND(I664/I665,2)</f>
        <v>16495.080000000002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-2.66</v>
      </c>
      <c r="I670" s="19">
        <f>SUM(F670:H670)</f>
        <v>-2.66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15951.55</v>
      </c>
      <c r="G672" s="19">
        <f>ROUND((G664+G669)/(G665+G670),2)</f>
        <v>16396.7</v>
      </c>
      <c r="H672" s="19">
        <f>ROUND((H664+H669)/(H665+H670),2)</f>
        <v>17557.79</v>
      </c>
      <c r="I672" s="19">
        <f>ROUND((I664+I669)/(I665+I670),2)</f>
        <v>16520.349999999999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7" sqref="C37: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Claremont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6591689</v>
      </c>
      <c r="C9" s="229">
        <f>'DOE25'!G197+'DOE25'!G215+'DOE25'!G233+'DOE25'!G276+'DOE25'!G295+'DOE25'!G314</f>
        <v>3863066</v>
      </c>
    </row>
    <row r="10" spans="1:3" x14ac:dyDescent="0.2">
      <c r="A10" t="s">
        <v>779</v>
      </c>
      <c r="B10" s="240">
        <v>6369311</v>
      </c>
      <c r="C10" s="240">
        <v>3820572</v>
      </c>
    </row>
    <row r="11" spans="1:3" x14ac:dyDescent="0.2">
      <c r="A11" t="s">
        <v>780</v>
      </c>
      <c r="B11" s="240">
        <v>189810</v>
      </c>
      <c r="C11" s="240">
        <v>40176</v>
      </c>
    </row>
    <row r="12" spans="1:3" x14ac:dyDescent="0.2">
      <c r="A12" t="s">
        <v>781</v>
      </c>
      <c r="B12" s="240">
        <v>32568</v>
      </c>
      <c r="C12" s="240">
        <v>2318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6591689</v>
      </c>
      <c r="C13" s="231">
        <f>SUM(C10:C12)</f>
        <v>3863066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3582612</v>
      </c>
      <c r="C18" s="229">
        <f>'DOE25'!G198+'DOE25'!G216+'DOE25'!G234+'DOE25'!G277+'DOE25'!G296+'DOE25'!G315</f>
        <v>1414952</v>
      </c>
    </row>
    <row r="19" spans="1:3" x14ac:dyDescent="0.2">
      <c r="A19" t="s">
        <v>779</v>
      </c>
      <c r="B19" s="240">
        <v>2020412</v>
      </c>
      <c r="C19" s="240">
        <v>1021422</v>
      </c>
    </row>
    <row r="20" spans="1:3" x14ac:dyDescent="0.2">
      <c r="A20" t="s">
        <v>780</v>
      </c>
      <c r="B20" s="240">
        <v>1500277</v>
      </c>
      <c r="C20" s="240">
        <v>351191</v>
      </c>
    </row>
    <row r="21" spans="1:3" x14ac:dyDescent="0.2">
      <c r="A21" t="s">
        <v>781</v>
      </c>
      <c r="B21" s="240">
        <v>61923</v>
      </c>
      <c r="C21" s="240">
        <v>42339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3582612</v>
      </c>
      <c r="C22" s="231">
        <f>SUM(C19:C21)</f>
        <v>1414952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620623</v>
      </c>
      <c r="C27" s="234">
        <f>'DOE25'!G199+'DOE25'!G217+'DOE25'!G235+'DOE25'!G278+'DOE25'!G297+'DOE25'!G316</f>
        <v>343048</v>
      </c>
    </row>
    <row r="28" spans="1:3" x14ac:dyDescent="0.2">
      <c r="A28" t="s">
        <v>779</v>
      </c>
      <c r="B28" s="240">
        <v>514954</v>
      </c>
      <c r="C28" s="240">
        <v>314728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105669</v>
      </c>
      <c r="C30" s="240">
        <v>28320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620623</v>
      </c>
      <c r="C31" s="231">
        <f>SUM(C28:C30)</f>
        <v>343048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236282</v>
      </c>
      <c r="C36" s="235">
        <f>'DOE25'!G200+'DOE25'!G218+'DOE25'!G236+'DOE25'!G279+'DOE25'!G298+'DOE25'!G317</f>
        <v>63962</v>
      </c>
    </row>
    <row r="37" spans="1:3" x14ac:dyDescent="0.2">
      <c r="A37" t="s">
        <v>779</v>
      </c>
      <c r="B37" s="240">
        <v>2900</v>
      </c>
      <c r="C37" s="240">
        <v>539</v>
      </c>
    </row>
    <row r="38" spans="1:3" x14ac:dyDescent="0.2">
      <c r="A38" t="s">
        <v>780</v>
      </c>
      <c r="B38" s="240">
        <v>1904</v>
      </c>
      <c r="C38" s="240">
        <v>146</v>
      </c>
    </row>
    <row r="39" spans="1:3" x14ac:dyDescent="0.2">
      <c r="A39" t="s">
        <v>781</v>
      </c>
      <c r="B39" s="240">
        <v>231478</v>
      </c>
      <c r="C39" s="240">
        <v>63277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236282</v>
      </c>
      <c r="C40" s="231">
        <f>SUM(C37:C39)</f>
        <v>63962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E14" sqref="E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Claremont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20072968</v>
      </c>
      <c r="D5" s="20">
        <f>SUM('DOE25'!L197:L200)+SUM('DOE25'!L215:L218)+SUM('DOE25'!L233:L236)-F5-G5</f>
        <v>19830476</v>
      </c>
      <c r="E5" s="243"/>
      <c r="F5" s="255">
        <f>SUM('DOE25'!J197:J200)+SUM('DOE25'!J215:J218)+SUM('DOE25'!J233:J236)</f>
        <v>219029</v>
      </c>
      <c r="G5" s="53">
        <f>SUM('DOE25'!K197:K200)+SUM('DOE25'!K215:K218)+SUM('DOE25'!K233:K236)</f>
        <v>23463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1625293</v>
      </c>
      <c r="D6" s="20">
        <f>'DOE25'!L202+'DOE25'!L220+'DOE25'!L238-F6-G6</f>
        <v>1621319</v>
      </c>
      <c r="E6" s="243"/>
      <c r="F6" s="255">
        <f>'DOE25'!J202+'DOE25'!J220+'DOE25'!J238</f>
        <v>2810</v>
      </c>
      <c r="G6" s="53">
        <f>'DOE25'!K202+'DOE25'!K220+'DOE25'!K238</f>
        <v>1164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1075817</v>
      </c>
      <c r="D7" s="20">
        <f>'DOE25'!L203+'DOE25'!L221+'DOE25'!L239-F7-G7</f>
        <v>790490</v>
      </c>
      <c r="E7" s="243"/>
      <c r="F7" s="255">
        <f>'DOE25'!J203+'DOE25'!J221+'DOE25'!J239</f>
        <v>278328</v>
      </c>
      <c r="G7" s="53">
        <f>'DOE25'!K203+'DOE25'!K221+'DOE25'!K239</f>
        <v>6999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1223424</v>
      </c>
      <c r="D8" s="243"/>
      <c r="E8" s="20">
        <f>'DOE25'!L204+'DOE25'!L222+'DOE25'!L240-F8-G8-D9-D11</f>
        <v>1197639</v>
      </c>
      <c r="F8" s="255">
        <f>'DOE25'!J204+'DOE25'!J222+'DOE25'!J240</f>
        <v>0</v>
      </c>
      <c r="G8" s="53">
        <f>'DOE25'!K204+'DOE25'!K222+'DOE25'!K240</f>
        <v>25785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158703</v>
      </c>
      <c r="D9" s="244">
        <v>158703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17719</v>
      </c>
      <c r="D10" s="243"/>
      <c r="E10" s="244">
        <v>17719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258462</v>
      </c>
      <c r="D11" s="244">
        <v>258462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2208479</v>
      </c>
      <c r="D12" s="20">
        <f>'DOE25'!L205+'DOE25'!L223+'DOE25'!L241-F12-G12</f>
        <v>2186682</v>
      </c>
      <c r="E12" s="243"/>
      <c r="F12" s="255">
        <f>'DOE25'!J205+'DOE25'!J223+'DOE25'!J241</f>
        <v>8520</v>
      </c>
      <c r="G12" s="53">
        <f>'DOE25'!K205+'DOE25'!K223+'DOE25'!K241</f>
        <v>13277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2684736</v>
      </c>
      <c r="D14" s="20">
        <f>'DOE25'!L207+'DOE25'!L225+'DOE25'!L243-F14-G14</f>
        <v>2556764</v>
      </c>
      <c r="E14" s="243"/>
      <c r="F14" s="255">
        <f>'DOE25'!J207+'DOE25'!J225+'DOE25'!J243</f>
        <v>127972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1294368</v>
      </c>
      <c r="D15" s="20">
        <f>'DOE25'!L208+'DOE25'!L226+'DOE25'!L244-F15-G15</f>
        <v>1192971</v>
      </c>
      <c r="E15" s="243"/>
      <c r="F15" s="255">
        <f>'DOE25'!J208+'DOE25'!J226+'DOE25'!J244</f>
        <v>101233</v>
      </c>
      <c r="G15" s="53">
        <f>'DOE25'!K208+'DOE25'!K226+'DOE25'!K244</f>
        <v>164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1674802</v>
      </c>
      <c r="D25" s="243"/>
      <c r="E25" s="243"/>
      <c r="F25" s="258"/>
      <c r="G25" s="256"/>
      <c r="H25" s="257">
        <f>'DOE25'!L260+'DOE25'!L261+'DOE25'!L341+'DOE25'!L342</f>
        <v>1674802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581780</v>
      </c>
      <c r="D29" s="20">
        <f>'DOE25'!L358+'DOE25'!L359+'DOE25'!L360-'DOE25'!I367-F29-G29</f>
        <v>575486</v>
      </c>
      <c r="E29" s="243"/>
      <c r="F29" s="255">
        <f>'DOE25'!J358+'DOE25'!J359+'DOE25'!J360</f>
        <v>6174</v>
      </c>
      <c r="G29" s="53">
        <f>'DOE25'!K358+'DOE25'!K359+'DOE25'!K360</f>
        <v>120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2016260</v>
      </c>
      <c r="D31" s="20">
        <f>'DOE25'!L290+'DOE25'!L309+'DOE25'!L328+'DOE25'!L333+'DOE25'!L334+'DOE25'!L335-F31-G31</f>
        <v>1907441</v>
      </c>
      <c r="E31" s="243"/>
      <c r="F31" s="255">
        <f>'DOE25'!J290+'DOE25'!J309+'DOE25'!J328+'DOE25'!J333+'DOE25'!J334+'DOE25'!J335</f>
        <v>45868</v>
      </c>
      <c r="G31" s="53">
        <f>'DOE25'!K290+'DOE25'!K309+'DOE25'!K328+'DOE25'!K333+'DOE25'!K334+'DOE25'!K335</f>
        <v>62951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31078794</v>
      </c>
      <c r="E33" s="246">
        <f>SUM(E5:E31)</f>
        <v>1215358</v>
      </c>
      <c r="F33" s="246">
        <f>SUM(F5:F31)</f>
        <v>789934</v>
      </c>
      <c r="G33" s="246">
        <f>SUM(G5:G31)</f>
        <v>133923</v>
      </c>
      <c r="H33" s="246">
        <f>SUM(H5:H31)</f>
        <v>1674802</v>
      </c>
    </row>
    <row r="35" spans="2:8" ht="12" thickBot="1" x14ac:dyDescent="0.25">
      <c r="B35" s="253" t="s">
        <v>847</v>
      </c>
      <c r="D35" s="254">
        <f>E33</f>
        <v>1215358</v>
      </c>
      <c r="E35" s="249"/>
    </row>
    <row r="36" spans="2:8" ht="12" thickTop="1" x14ac:dyDescent="0.2">
      <c r="B36" t="s">
        <v>815</v>
      </c>
      <c r="D36" s="20">
        <f>D33</f>
        <v>31078794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24" activePane="bottomLeft" state="frozen"/>
      <selection activeCell="F46" sqref="F46"/>
      <selection pane="bottomLeft" activeCell="C30" sqref="C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957880</v>
      </c>
      <c r="D8" s="95">
        <f>'DOE25'!G9</f>
        <v>0</v>
      </c>
      <c r="E8" s="95">
        <f>'DOE25'!H9</f>
        <v>0</v>
      </c>
      <c r="F8" s="95">
        <f>'DOE25'!I9</f>
        <v>374972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556811</v>
      </c>
      <c r="D11" s="95">
        <f>'DOE25'!G12</f>
        <v>54117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88067</v>
      </c>
      <c r="D12" s="95">
        <f>'DOE25'!G13</f>
        <v>15739</v>
      </c>
      <c r="E12" s="95">
        <f>'DOE25'!H13</f>
        <v>703873</v>
      </c>
      <c r="F12" s="95">
        <f>'DOE25'!I13</f>
        <v>0</v>
      </c>
      <c r="G12" s="95">
        <f>'DOE25'!J13</f>
        <v>394009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21087</v>
      </c>
      <c r="D13" s="95">
        <f>'DOE25'!G14</f>
        <v>0</v>
      </c>
      <c r="E13" s="95">
        <f>'DOE25'!H14</f>
        <v>67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11099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13251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71381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1708477</v>
      </c>
      <c r="D18" s="41">
        <f>SUM(D8:D17)</f>
        <v>80955</v>
      </c>
      <c r="E18" s="41">
        <f>SUM(E8:E17)</f>
        <v>703940</v>
      </c>
      <c r="F18" s="41">
        <f>SUM(F8:F17)</f>
        <v>374972</v>
      </c>
      <c r="G18" s="41">
        <f>SUM(G8:G17)</f>
        <v>394009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236693</v>
      </c>
      <c r="F21" s="95">
        <f>'DOE25'!I22</f>
        <v>374235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368298</v>
      </c>
      <c r="D23" s="95">
        <f>'DOE25'!G24</f>
        <v>21419</v>
      </c>
      <c r="E23" s="95">
        <f>'DOE25'!H24</f>
        <v>118108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456144</v>
      </c>
      <c r="D27" s="95">
        <f>'DOE25'!G28</f>
        <v>2112</v>
      </c>
      <c r="E27" s="95">
        <f>'DOE25'!H28</f>
        <v>55481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5961</v>
      </c>
      <c r="E29" s="95">
        <f>'DOE25'!H30</f>
        <v>11320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824442</v>
      </c>
      <c r="D31" s="41">
        <f>SUM(D21:D30)</f>
        <v>29492</v>
      </c>
      <c r="E31" s="41">
        <f>SUM(E21:E30)</f>
        <v>421602</v>
      </c>
      <c r="F31" s="41">
        <f>SUM(F21:F30)</f>
        <v>374235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11099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13251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325000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143233</v>
      </c>
      <c r="D47" s="95">
        <f>'DOE25'!G48</f>
        <v>40364</v>
      </c>
      <c r="E47" s="95">
        <f>'DOE25'!H48</f>
        <v>282338</v>
      </c>
      <c r="F47" s="95">
        <f>'DOE25'!I48</f>
        <v>737</v>
      </c>
      <c r="G47" s="95">
        <f>'DOE25'!J48</f>
        <v>394009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76222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326329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884035</v>
      </c>
      <c r="D50" s="41">
        <f>SUM(D34:D49)</f>
        <v>51463</v>
      </c>
      <c r="E50" s="41">
        <f>SUM(E34:E49)</f>
        <v>282338</v>
      </c>
      <c r="F50" s="41">
        <f>SUM(F34:F49)</f>
        <v>737</v>
      </c>
      <c r="G50" s="41">
        <f>SUM(G34:G49)</f>
        <v>394009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1708477</v>
      </c>
      <c r="D51" s="41">
        <f>D50+D31</f>
        <v>80955</v>
      </c>
      <c r="E51" s="41">
        <f>E50+E31</f>
        <v>703940</v>
      </c>
      <c r="F51" s="41">
        <f>F50+F31</f>
        <v>374972</v>
      </c>
      <c r="G51" s="41">
        <f>G50+G31</f>
        <v>394009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14421696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532867</v>
      </c>
      <c r="D57" s="24" t="s">
        <v>289</v>
      </c>
      <c r="E57" s="95">
        <f>'DOE25'!H79</f>
        <v>22215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19144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108172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120473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766058</v>
      </c>
      <c r="D61" s="95">
        <f>SUM('DOE25'!G98:G110)</f>
        <v>0</v>
      </c>
      <c r="E61" s="95">
        <f>SUM('DOE25'!H98:H110)</f>
        <v>144811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1426241</v>
      </c>
      <c r="D62" s="130">
        <f>SUM(D57:D61)</f>
        <v>120473</v>
      </c>
      <c r="E62" s="130">
        <f>SUM(E57:E61)</f>
        <v>167026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15847937</v>
      </c>
      <c r="D63" s="22">
        <f>D56+D62</f>
        <v>120473</v>
      </c>
      <c r="E63" s="22">
        <f>E56+E62</f>
        <v>167026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12922026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1690309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14612335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99000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355155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9388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10132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463543</v>
      </c>
      <c r="D78" s="130">
        <f>SUM(D72:D77)</f>
        <v>10132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15075878</v>
      </c>
      <c r="D81" s="130">
        <f>SUM(D79:D80)+D78+D70</f>
        <v>10132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65748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557250</v>
      </c>
      <c r="D88" s="95">
        <f>SUM('DOE25'!G153:G161)</f>
        <v>517351</v>
      </c>
      <c r="E88" s="95">
        <f>SUM('DOE25'!H153:H161)</f>
        <v>1796249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622998</v>
      </c>
      <c r="D91" s="131">
        <f>SUM(D85:D90)</f>
        <v>517351</v>
      </c>
      <c r="E91" s="131">
        <f>SUM(E85:E90)</f>
        <v>1796249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47498</v>
      </c>
      <c r="F96" s="95">
        <f>'DOE25'!I179</f>
        <v>102004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47498</v>
      </c>
      <c r="F103" s="86">
        <f>SUM(F93:F102)</f>
        <v>102004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31546813</v>
      </c>
      <c r="D104" s="86">
        <f>D63+D81+D91+D103</f>
        <v>647956</v>
      </c>
      <c r="E104" s="86">
        <f>E63+E81+E91+E103</f>
        <v>2010773</v>
      </c>
      <c r="F104" s="86">
        <f>F63+F81+F91+F103</f>
        <v>102004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10861738</v>
      </c>
      <c r="D109" s="24" t="s">
        <v>289</v>
      </c>
      <c r="E109" s="95">
        <f>('DOE25'!L276)+('DOE25'!L295)+('DOE25'!L314)</f>
        <v>593261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7714512</v>
      </c>
      <c r="D110" s="24" t="s">
        <v>289</v>
      </c>
      <c r="E110" s="95">
        <f>('DOE25'!L277)+('DOE25'!L296)+('DOE25'!L315)</f>
        <v>505552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1035883</v>
      </c>
      <c r="D111" s="24" t="s">
        <v>289</v>
      </c>
      <c r="E111" s="95">
        <f>('DOE25'!L278)+('DOE25'!L297)+('DOE25'!L316)</f>
        <v>73043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460835</v>
      </c>
      <c r="D112" s="24" t="s">
        <v>289</v>
      </c>
      <c r="E112" s="95">
        <f>+('DOE25'!L279)+('DOE25'!L298)+('DOE25'!L317)</f>
        <v>10379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125284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20072968</v>
      </c>
      <c r="D115" s="86">
        <f>SUM(D109:D114)</f>
        <v>0</v>
      </c>
      <c r="E115" s="86">
        <f>SUM(E109:E114)</f>
        <v>1307519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1625293</v>
      </c>
      <c r="D118" s="24" t="s">
        <v>289</v>
      </c>
      <c r="E118" s="95">
        <f>+('DOE25'!L281)+('DOE25'!L300)+('DOE25'!L319)</f>
        <v>339038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1075817</v>
      </c>
      <c r="D119" s="24" t="s">
        <v>289</v>
      </c>
      <c r="E119" s="95">
        <f>+('DOE25'!L282)+('DOE25'!L301)+('DOE25'!L320)</f>
        <v>256768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1640589</v>
      </c>
      <c r="D120" s="24" t="s">
        <v>289</v>
      </c>
      <c r="E120" s="95">
        <f>+('DOE25'!L283)+('DOE25'!L302)+('DOE25'!L321)</f>
        <v>25075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2208479</v>
      </c>
      <c r="D121" s="24" t="s">
        <v>289</v>
      </c>
      <c r="E121" s="95">
        <f>+('DOE25'!L284)+('DOE25'!L303)+('DOE25'!L322)</f>
        <v>30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55308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2684736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1294368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32522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608234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10529282</v>
      </c>
      <c r="D128" s="86">
        <f>SUM(D118:D127)</f>
        <v>608234</v>
      </c>
      <c r="E128" s="86">
        <f>SUM(E118:E127)</f>
        <v>708741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102004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991631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683171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47498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102004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1924304</v>
      </c>
      <c r="D144" s="141">
        <f>SUM(D130:D143)</f>
        <v>0</v>
      </c>
      <c r="E144" s="141">
        <f>SUM(E130:E143)</f>
        <v>0</v>
      </c>
      <c r="F144" s="141">
        <f>SUM(F130:F143)</f>
        <v>102004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32526554</v>
      </c>
      <c r="D145" s="86">
        <f>(D115+D128+D144)</f>
        <v>608234</v>
      </c>
      <c r="E145" s="86">
        <f>(E115+E128+E144)</f>
        <v>2016260</v>
      </c>
      <c r="F145" s="86">
        <f>(F115+F128+F144)</f>
        <v>102004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11195000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11630000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11630000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565000</v>
      </c>
    </row>
    <row r="159" spans="1:9" x14ac:dyDescent="0.2">
      <c r="A159" s="22" t="s">
        <v>35</v>
      </c>
      <c r="B159" s="137">
        <f>'DOE25'!F498</f>
        <v>11065000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11065000</v>
      </c>
    </row>
    <row r="160" spans="1:9" x14ac:dyDescent="0.2">
      <c r="A160" s="22" t="s">
        <v>36</v>
      </c>
      <c r="B160" s="137">
        <f>'DOE25'!F499</f>
        <v>4693313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4693313</v>
      </c>
    </row>
    <row r="161" spans="1:7" x14ac:dyDescent="0.2">
      <c r="A161" s="22" t="s">
        <v>37</v>
      </c>
      <c r="B161" s="137">
        <f>'DOE25'!F500</f>
        <v>15758313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15758313</v>
      </c>
    </row>
    <row r="162" spans="1:7" x14ac:dyDescent="0.2">
      <c r="A162" s="22" t="s">
        <v>38</v>
      </c>
      <c r="B162" s="137">
        <f>'DOE25'!F501</f>
        <v>565000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565000</v>
      </c>
    </row>
    <row r="163" spans="1:7" x14ac:dyDescent="0.2">
      <c r="A163" s="22" t="s">
        <v>39</v>
      </c>
      <c r="B163" s="137">
        <f>'DOE25'!F502</f>
        <v>380554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380554</v>
      </c>
    </row>
    <row r="164" spans="1:7" x14ac:dyDescent="0.2">
      <c r="A164" s="22" t="s">
        <v>246</v>
      </c>
      <c r="B164" s="137">
        <f>'DOE25'!F503</f>
        <v>945554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945554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Claremont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15952</v>
      </c>
    </row>
    <row r="5" spans="1:4" x14ac:dyDescent="0.2">
      <c r="B5" t="s">
        <v>704</v>
      </c>
      <c r="C5" s="179">
        <f>IF('DOE25'!G665+'DOE25'!G670=0,0,ROUND('DOE25'!G672,0))</f>
        <v>16397</v>
      </c>
    </row>
    <row r="6" spans="1:4" x14ac:dyDescent="0.2">
      <c r="B6" t="s">
        <v>62</v>
      </c>
      <c r="C6" s="179">
        <f>IF('DOE25'!H665+'DOE25'!H670=0,0,ROUND('DOE25'!H672,0))</f>
        <v>17558</v>
      </c>
    </row>
    <row r="7" spans="1:4" x14ac:dyDescent="0.2">
      <c r="B7" t="s">
        <v>705</v>
      </c>
      <c r="C7" s="179">
        <f>IF('DOE25'!I665+'DOE25'!I670=0,0,ROUND('DOE25'!I672,0))</f>
        <v>16520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11454999</v>
      </c>
      <c r="D10" s="182">
        <f>ROUND((C10/$C$28)*100,1)</f>
        <v>33.9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8220064</v>
      </c>
      <c r="D11" s="182">
        <f>ROUND((C11/$C$28)*100,1)</f>
        <v>24.3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1108926</v>
      </c>
      <c r="D12" s="182">
        <f>ROUND((C12/$C$28)*100,1)</f>
        <v>3.3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471214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1964331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1332585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1698186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2208509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55308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2684736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1294368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125284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683171</v>
      </c>
      <c r="D25" s="182">
        <f t="shared" si="0"/>
        <v>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487761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33789442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102004</v>
      </c>
    </row>
    <row r="30" spans="1:4" x14ac:dyDescent="0.2">
      <c r="B30" s="187" t="s">
        <v>729</v>
      </c>
      <c r="C30" s="180">
        <f>SUM(C28:C29)</f>
        <v>33891446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991631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14421696</v>
      </c>
      <c r="D35" s="182">
        <f t="shared" ref="D35:D40" si="1">ROUND((C35/$C$41)*100,1)</f>
        <v>42.4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1593267</v>
      </c>
      <c r="D36" s="182">
        <f t="shared" si="1"/>
        <v>4.7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14612335</v>
      </c>
      <c r="D37" s="182">
        <f t="shared" si="1"/>
        <v>42.9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473675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2936598</v>
      </c>
      <c r="D39" s="182">
        <f t="shared" si="1"/>
        <v>8.6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34037571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Claremont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N22"/>
  <sheetViews>
    <sheetView workbookViewId="0">
      <selection activeCell="D13" sqref="D13"/>
    </sheetView>
  </sheetViews>
  <sheetFormatPr defaultRowHeight="11.25" x14ac:dyDescent="0.2"/>
  <sheetData>
    <row r="9" spans="4:14" x14ac:dyDescent="0.2">
      <c r="M9">
        <v>214524</v>
      </c>
    </row>
    <row r="10" spans="4:14" x14ac:dyDescent="0.2">
      <c r="M10">
        <v>142561</v>
      </c>
    </row>
    <row r="11" spans="4:14" x14ac:dyDescent="0.2">
      <c r="M11">
        <f>+M10-M9</f>
        <v>-71963</v>
      </c>
    </row>
    <row r="13" spans="4:14" x14ac:dyDescent="0.2">
      <c r="D13">
        <v>537539</v>
      </c>
      <c r="E13">
        <v>54117</v>
      </c>
      <c r="M13">
        <v>1816836</v>
      </c>
    </row>
    <row r="14" spans="4:14" x14ac:dyDescent="0.2">
      <c r="M14">
        <v>1796249</v>
      </c>
      <c r="N14">
        <v>1490246</v>
      </c>
    </row>
    <row r="15" spans="4:14" x14ac:dyDescent="0.2">
      <c r="M15">
        <f>+M14-M13</f>
        <v>-20587</v>
      </c>
      <c r="N15">
        <f>+M14-N14</f>
        <v>306003</v>
      </c>
    </row>
    <row r="16" spans="4:14" x14ac:dyDescent="0.2">
      <c r="D16">
        <v>236693</v>
      </c>
      <c r="E16">
        <v>374235</v>
      </c>
    </row>
    <row r="18" spans="4:13" x14ac:dyDescent="0.2">
      <c r="D18">
        <f>+D13+E13</f>
        <v>591656</v>
      </c>
      <c r="K18">
        <v>1</v>
      </c>
      <c r="M18">
        <v>816752</v>
      </c>
    </row>
    <row r="19" spans="4:13" x14ac:dyDescent="0.2">
      <c r="D19">
        <f>+D16+E16</f>
        <v>610928</v>
      </c>
      <c r="K19">
        <v>2</v>
      </c>
      <c r="M19">
        <v>219294</v>
      </c>
    </row>
    <row r="20" spans="4:13" x14ac:dyDescent="0.2">
      <c r="D20">
        <f>+D19-D18</f>
        <v>19272</v>
      </c>
      <c r="K20">
        <v>3</v>
      </c>
      <c r="M20">
        <v>3125</v>
      </c>
    </row>
    <row r="21" spans="4:13" x14ac:dyDescent="0.2">
      <c r="L21" s="185" t="s">
        <v>913</v>
      </c>
      <c r="M21">
        <v>81286</v>
      </c>
    </row>
    <row r="22" spans="4:13" x14ac:dyDescent="0.2">
      <c r="L22" s="185" t="s">
        <v>914</v>
      </c>
      <c r="M22">
        <v>521168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2016-11-29T14:02:23Z</cp:lastPrinted>
  <dcterms:created xsi:type="dcterms:W3CDTF">1997-12-04T19:04:30Z</dcterms:created>
  <dcterms:modified xsi:type="dcterms:W3CDTF">2016-11-29T14:37:04Z</dcterms:modified>
</cp:coreProperties>
</file>