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B39" i="12"/>
  <c r="C37" i="12"/>
  <c r="B37" i="12"/>
  <c r="C38" i="12"/>
  <c r="B38" i="12"/>
  <c r="C19" i="12"/>
  <c r="B21" i="12"/>
  <c r="B20" i="12"/>
  <c r="B19" i="12"/>
  <c r="C10" i="12"/>
  <c r="B12" i="12"/>
  <c r="B11" i="12"/>
  <c r="B10" i="12"/>
  <c r="F611" i="1"/>
  <c r="G611" i="1"/>
  <c r="H592" i="1"/>
  <c r="H531" i="1"/>
  <c r="H528" i="1"/>
  <c r="H526" i="1"/>
  <c r="G526" i="1"/>
  <c r="H541" i="1"/>
  <c r="F526" i="1"/>
  <c r="J521" i="1"/>
  <c r="G521" i="1"/>
  <c r="F521" i="1"/>
  <c r="F499" i="1"/>
  <c r="F498" i="1"/>
  <c r="H472" i="1"/>
  <c r="H468" i="1"/>
  <c r="F473" i="1"/>
  <c r="F465" i="1"/>
  <c r="F468" i="1"/>
  <c r="F469" i="1"/>
  <c r="F50" i="1"/>
  <c r="F472" i="1"/>
  <c r="H360" i="1"/>
  <c r="H358" i="1"/>
  <c r="H282" i="1"/>
  <c r="J197" i="1"/>
  <c r="J276" i="1"/>
  <c r="H320" i="1"/>
  <c r="K263" i="1"/>
  <c r="H243" i="1"/>
  <c r="H241" i="1"/>
  <c r="H240" i="1"/>
  <c r="K239" i="1"/>
  <c r="H239" i="1"/>
  <c r="H238" i="1"/>
  <c r="H236" i="1"/>
  <c r="H234" i="1"/>
  <c r="H233" i="1"/>
  <c r="H208" i="1"/>
  <c r="H207" i="1"/>
  <c r="H205" i="1"/>
  <c r="H204" i="1"/>
  <c r="K203" i="1"/>
  <c r="H203" i="1"/>
  <c r="H202" i="1"/>
  <c r="H198" i="1"/>
  <c r="H197" i="1"/>
  <c r="H155" i="1"/>
  <c r="H110" i="1"/>
  <c r="H154" i="1"/>
  <c r="F110" i="1"/>
  <c r="J426" i="1" l="1"/>
  <c r="H400" i="1"/>
  <c r="H22" i="1"/>
  <c r="H30" i="1"/>
  <c r="G48" i="1"/>
  <c r="G24" i="1"/>
  <c r="F29" i="1"/>
  <c r="F2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L250" i="1"/>
  <c r="L332" i="1"/>
  <c r="L254" i="1"/>
  <c r="L268" i="1"/>
  <c r="L269" i="1"/>
  <c r="L349" i="1"/>
  <c r="L350" i="1"/>
  <c r="E143" i="2" s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20" i="2"/>
  <c r="E121" i="2"/>
  <c r="C122" i="2"/>
  <c r="E122" i="2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I461" i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K545" i="1" s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C18" i="2"/>
  <c r="L351" i="1"/>
  <c r="A31" i="12"/>
  <c r="C70" i="2"/>
  <c r="A40" i="12"/>
  <c r="D62" i="2"/>
  <c r="D63" i="2" s="1"/>
  <c r="D18" i="13"/>
  <c r="C18" i="13" s="1"/>
  <c r="D18" i="2"/>
  <c r="D17" i="13"/>
  <c r="C17" i="13" s="1"/>
  <c r="D6" i="13"/>
  <c r="C6" i="13" s="1"/>
  <c r="C91" i="2"/>
  <c r="F78" i="2"/>
  <c r="F81" i="2" s="1"/>
  <c r="C78" i="2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J641" i="1"/>
  <c r="J639" i="1"/>
  <c r="J571" i="1"/>
  <c r="K571" i="1"/>
  <c r="L433" i="1"/>
  <c r="L419" i="1"/>
  <c r="I169" i="1"/>
  <c r="H169" i="1"/>
  <c r="G552" i="1"/>
  <c r="J643" i="1"/>
  <c r="I476" i="1"/>
  <c r="H625" i="1" s="1"/>
  <c r="J625" i="1" s="1"/>
  <c r="F169" i="1"/>
  <c r="J140" i="1"/>
  <c r="F571" i="1"/>
  <c r="I552" i="1"/>
  <c r="K550" i="1"/>
  <c r="G22" i="2"/>
  <c r="J552" i="1"/>
  <c r="C29" i="10"/>
  <c r="H140" i="1"/>
  <c r="L401" i="1"/>
  <c r="C139" i="2" s="1"/>
  <c r="L393" i="1"/>
  <c r="C138" i="2" s="1"/>
  <c r="F22" i="13"/>
  <c r="C22" i="13" s="1"/>
  <c r="H25" i="13"/>
  <c r="C25" i="13" s="1"/>
  <c r="H571" i="1"/>
  <c r="L560" i="1"/>
  <c r="J545" i="1"/>
  <c r="G192" i="1"/>
  <c r="H192" i="1"/>
  <c r="L309" i="1"/>
  <c r="D5" i="13"/>
  <c r="C5" i="13" s="1"/>
  <c r="E16" i="13"/>
  <c r="J655" i="1"/>
  <c r="L570" i="1"/>
  <c r="I571" i="1"/>
  <c r="J636" i="1"/>
  <c r="G36" i="2"/>
  <c r="L565" i="1"/>
  <c r="C16" i="13"/>
  <c r="A13" i="12" l="1"/>
  <c r="L614" i="1"/>
  <c r="K598" i="1"/>
  <c r="G647" i="1" s="1"/>
  <c r="J651" i="1"/>
  <c r="H552" i="1"/>
  <c r="L534" i="1"/>
  <c r="G545" i="1"/>
  <c r="L544" i="1"/>
  <c r="H545" i="1"/>
  <c r="L529" i="1"/>
  <c r="K549" i="1"/>
  <c r="K552" i="1" s="1"/>
  <c r="L524" i="1"/>
  <c r="F552" i="1"/>
  <c r="K500" i="1"/>
  <c r="J644" i="1"/>
  <c r="J476" i="1"/>
  <c r="H626" i="1" s="1"/>
  <c r="F476" i="1"/>
  <c r="H622" i="1" s="1"/>
  <c r="J622" i="1" s="1"/>
  <c r="H476" i="1"/>
  <c r="H624" i="1" s="1"/>
  <c r="J624" i="1" s="1"/>
  <c r="G476" i="1"/>
  <c r="H623" i="1" s="1"/>
  <c r="J623" i="1" s="1"/>
  <c r="G661" i="1"/>
  <c r="D127" i="2"/>
  <c r="D128" i="2" s="1"/>
  <c r="D145" i="2" s="1"/>
  <c r="D29" i="13"/>
  <c r="C29" i="13" s="1"/>
  <c r="F661" i="1"/>
  <c r="H661" i="1"/>
  <c r="C26" i="10"/>
  <c r="K338" i="1"/>
  <c r="K352" i="1" s="1"/>
  <c r="H662" i="1"/>
  <c r="H338" i="1"/>
  <c r="H352" i="1" s="1"/>
  <c r="G338" i="1"/>
  <c r="G352" i="1" s="1"/>
  <c r="L328" i="1"/>
  <c r="E119" i="2"/>
  <c r="E128" i="2" s="1"/>
  <c r="E109" i="2"/>
  <c r="E115" i="2" s="1"/>
  <c r="F338" i="1"/>
  <c r="F352" i="1" s="1"/>
  <c r="L290" i="1"/>
  <c r="C15" i="10"/>
  <c r="C118" i="2"/>
  <c r="C124" i="2"/>
  <c r="C20" i="10"/>
  <c r="C18" i="10"/>
  <c r="C120" i="2"/>
  <c r="D7" i="13"/>
  <c r="C7" i="13" s="1"/>
  <c r="C16" i="10"/>
  <c r="F257" i="1"/>
  <c r="F271" i="1" s="1"/>
  <c r="C13" i="10"/>
  <c r="I257" i="1"/>
  <c r="I271" i="1" s="1"/>
  <c r="K257" i="1"/>
  <c r="K271" i="1" s="1"/>
  <c r="J257" i="1"/>
  <c r="J271" i="1" s="1"/>
  <c r="G257" i="1"/>
  <c r="G271" i="1" s="1"/>
  <c r="C11" i="10"/>
  <c r="L247" i="1"/>
  <c r="C132" i="2"/>
  <c r="H33" i="13"/>
  <c r="H257" i="1"/>
  <c r="H271" i="1" s="1"/>
  <c r="F662" i="1"/>
  <c r="C21" i="10"/>
  <c r="G649" i="1"/>
  <c r="J649" i="1" s="1"/>
  <c r="D15" i="13"/>
  <c r="C15" i="13" s="1"/>
  <c r="H647" i="1"/>
  <c r="C123" i="2"/>
  <c r="D12" i="13"/>
  <c r="C12" i="13" s="1"/>
  <c r="C121" i="2"/>
  <c r="C17" i="10"/>
  <c r="E8" i="13"/>
  <c r="C8" i="13" s="1"/>
  <c r="C112" i="2"/>
  <c r="L211" i="1"/>
  <c r="C109" i="2"/>
  <c r="C10" i="10"/>
  <c r="C81" i="2"/>
  <c r="C62" i="2"/>
  <c r="F112" i="1"/>
  <c r="C36" i="10" s="1"/>
  <c r="C56" i="2"/>
  <c r="J640" i="1"/>
  <c r="G408" i="1"/>
  <c r="H645" i="1" s="1"/>
  <c r="J645" i="1" s="1"/>
  <c r="H52" i="1"/>
  <c r="H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J647" i="1" l="1"/>
  <c r="L545" i="1"/>
  <c r="I661" i="1"/>
  <c r="G667" i="1"/>
  <c r="E145" i="2"/>
  <c r="H660" i="1"/>
  <c r="H664" i="1" s="1"/>
  <c r="H672" i="1" s="1"/>
  <c r="C6" i="10" s="1"/>
  <c r="I662" i="1"/>
  <c r="L338" i="1"/>
  <c r="L352" i="1" s="1"/>
  <c r="G633" i="1" s="1"/>
  <c r="J633" i="1" s="1"/>
  <c r="F660" i="1"/>
  <c r="F664" i="1" s="1"/>
  <c r="F672" i="1" s="1"/>
  <c r="C4" i="10" s="1"/>
  <c r="D31" i="13"/>
  <c r="C31" i="13" s="1"/>
  <c r="C128" i="2"/>
  <c r="H648" i="1"/>
  <c r="J648" i="1" s="1"/>
  <c r="E33" i="13"/>
  <c r="D35" i="13" s="1"/>
  <c r="C115" i="2"/>
  <c r="L257" i="1"/>
  <c r="L271" i="1" s="1"/>
  <c r="G632" i="1" s="1"/>
  <c r="J632" i="1" s="1"/>
  <c r="C28" i="10"/>
  <c r="D21" i="10" s="1"/>
  <c r="C63" i="2"/>
  <c r="C104" i="2" s="1"/>
  <c r="F193" i="1"/>
  <c r="G627" i="1" s="1"/>
  <c r="J627" i="1" s="1"/>
  <c r="H646" i="1"/>
  <c r="J646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I660" i="1"/>
  <c r="I664" i="1" s="1"/>
  <c r="I672" i="1" s="1"/>
  <c r="C7" i="10" s="1"/>
  <c r="D33" i="13"/>
  <c r="D36" i="13" s="1"/>
  <c r="C145" i="2"/>
  <c r="F667" i="1"/>
  <c r="D18" i="10"/>
  <c r="D12" i="10"/>
  <c r="D26" i="10"/>
  <c r="D16" i="10"/>
  <c r="D11" i="10"/>
  <c r="D22" i="10"/>
  <c r="D27" i="10"/>
  <c r="D17" i="10"/>
  <c r="D24" i="10"/>
  <c r="D15" i="10"/>
  <c r="D19" i="10"/>
  <c r="D10" i="10"/>
  <c r="D25" i="10"/>
  <c r="C30" i="10"/>
  <c r="D23" i="10"/>
  <c r="D20" i="10"/>
  <c r="D13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<sst xmlns="http://schemas.openxmlformats.org/spreadsheetml/2006/main" count="3962" uniqueCount="918">
  <si>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</si>
  <si>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</si>
  <si>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</si>
  <si>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</si>
  <si>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</si>
  <si>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</si>
  <si>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</si>
  <si>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</si>
  <si>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</si>
  <si>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</si>
  <si>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</si>
  <si>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</si>
  <si>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</si>
  <si>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</si>
  <si>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</si>
  <si>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</si>
  <si>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</si>
  <si>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</si>
  <si>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</si>
  <si>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</si>
  <si>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</si>
  <si>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</si>
  <si>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</si>
  <si>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</si>
  <si>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</si>
  <si>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</si>
  <si>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</si>
  <si>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</si>
  <si>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</si>
  <si>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</si>
  <si>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</si>
  <si>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</si>
  <si>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</si>
  <si>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</si>
  <si>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</si>
  <si>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</si>
  <si>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</si>
  <si>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</si>
  <si>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</si>
  <si>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</si>
  <si>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</si>
  <si>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</si>
  <si>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</si>
  <si>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</si>
  <si>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</si>
  <si>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</si>
  <si>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</si>
  <si>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</si>
  <si>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</si>
  <si>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</si>
  <si>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</si>
  <si>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</si>
  <si>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</si>
  <si>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</si>
  <si>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</si>
  <si>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</si>
  <si>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</si>
  <si>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</si>
  <si>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</si>
  <si>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</si>
  <si>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</si>
  <si>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</si>
  <si>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</si>
  <si>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</si>
  <si>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</si>
  <si>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</si>
  <si>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</si>
  <si>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</si>
  <si>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</si>
  <si>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</si>
  <si>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</si>
  <si>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</si>
  <si>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</si>
  <si>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</si>
  <si>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</si>
  <si>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</si>
  <si>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</si>
  <si>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</si>
  <si>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</si>
  <si>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</si>
  <si>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</si>
  <si>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</si>
  <si>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</si>
  <si>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</si>
  <si>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</si>
  <si>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</si>
  <si>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</si>
  <si>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</si>
  <si>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</si>
  <si>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</si>
  <si>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</si>
  <si>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</si>
  <si>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</si>
  <si>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</si>
  <si>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</si>
  <si>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</si>
  <si>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</si>
  <si>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</si>
  <si>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</si>
  <si>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</si>
  <si>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</si>
  <si>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</si>
  <si>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</si>
  <si>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</si>
  <si>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</si>
  <si>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</si>
  <si>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</si>
  <si>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</si>
  <si>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</si>
  <si>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</si>
  <si>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</si>
  <si>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</si>
  <si>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</si>
  <si>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</si>
  <si>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</si>
  <si>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</si>
  <si>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</si>
  <si>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</si>
  <si>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</si>
  <si>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</si>
  <si>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</si>
  <si>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</si>
  <si>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</si>
  <si>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</si>
  <si>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</si>
  <si>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</si>
  <si>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</si>
  <si>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</si>
  <si>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</si>
  <si>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</si>
  <si>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</si>
  <si>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</si>
  <si>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</si>
  <si>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</si>
  <si>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</si>
  <si>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</si>
  <si>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</si>
  <si>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</si>
  <si>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</si>
  <si>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</si>
  <si>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</si>
  <si>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</si>
  <si>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</si>
  <si>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</si>
  <si>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</si>
  <si>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</si>
  <si>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</si>
  <si>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</si>
  <si>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</si>
  <si>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</si>
  <si>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</si>
  <si>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</si>
  <si>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</si>
  <si>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</si>
  <si>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</si>
  <si>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</si>
  <si>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</si>
  <si>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</si>
  <si>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</si>
  <si>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</si>
  <si>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</si>
  <si>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</si>
  <si>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</si>
  <si>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</si>
  <si>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</si>
  <si>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</si>
  <si>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</si>
  <si>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</si>
  <si>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</si>
  <si>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</si>
  <si>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</si>
  <si>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</si>
  <si>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</si>
  <si>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</si>
  <si>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</si>
  <si>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</si>
  <si>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</si>
  <si>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</si>
  <si>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</si>
  <si>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</si>
  <si>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</si>
  <si>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</si>
  <si>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</si>
  <si>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</si>
  <si>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</si>
  <si>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</si>
  <si>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</si>
  <si>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</si>
  <si>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</si>
  <si>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</si>
  <si>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</si>
  <si>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</si>
  <si>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</si>
  <si>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</si>
  <si>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</si>
  <si>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</si>
  <si>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</si>
  <si>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</si>
  <si>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</si>
  <si>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</si>
  <si>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</si>
  <si>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</si>
  <si>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</si>
  <si>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</si>
  <si>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</si>
  <si>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</si>
  <si>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</si>
  <si>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</si>
  <si>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</si>
  <si>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</si>
  <si>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</si>
  <si>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</si>
  <si>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</si>
  <si>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</si>
  <si>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</si>
  <si>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</si>
  <si>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</si>
  <si>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</si>
  <si>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</si>
  <si>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</si>
  <si>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</si>
  <si>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</si>
  <si>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</si>
  <si>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</si>
  <si>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</si>
  <si>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</si>
  <si>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</si>
  <si>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</si>
  <si>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</si>
  <si>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</si>
  <si>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</si>
  <si>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</si>
  <si>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</si>
  <si>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</si>
  <si>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</si>
  <si>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</si>
  <si>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</si>
  <si>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</si>
  <si>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</si>
  <si>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</si>
  <si>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</si>
  <si>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</si>
  <si>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</si>
  <si>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</si>
  <si>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</si>
  <si>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</si>
  <si>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</si>
  <si>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</si>
  <si>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</si>
  <si>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</si>
  <si>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</si>
  <si>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</si>
  <si>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</si>
  <si>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</si>
  <si>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</si>
  <si>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</si>
  <si>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</si>
  <si>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</si>
  <si>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</si>
  <si>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</si>
  <si>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</si>
  <si>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</si>
  <si>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</si>
  <si>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</si>
  <si>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</si>
  <si>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</si>
  <si>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</si>
  <si>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</si>
  <si>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</si>
  <si>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</si>
  <si>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</si>
  <si>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</si>
  <si>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</si>
  <si>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</si>
  <si>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</si>
  <si>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</si>
  <si>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</si>
  <si>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</si>
  <si>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</si>
  <si>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</si>
  <si>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</si>
  <si>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</si>
  <si>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</si>
  <si>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</si>
  <si>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</si>
  <si>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</si>
  <si>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</si>
  <si>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</si>
  <si>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</si>
  <si>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</si>
  <si>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</si>
  <si>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</si>
  <si>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</si>
  <si>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</si>
  <si>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</si>
  <si>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</si>
  <si>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</si>
  <si>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</si>
  <si>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</si>
  <si>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</si>
  <si>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</si>
  <si>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</si>
  <si>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</si>
  <si>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</si>
  <si>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</si>
  <si>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</si>
  <si>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</si>
  <si>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</si>
  <si>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</si>
  <si>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</si>
  <si>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</si>
  <si>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</si>
  <si>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</si>
  <si>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</si>
  <si>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</si>
  <si>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</si>
  <si>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</si>
  <si>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</si>
  <si>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</si>
  <si>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</si>
  <si>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</si>
  <si>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</si>
  <si>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</si>
  <si>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</si>
  <si>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</si>
  <si>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</si>
  <si>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</si>
  <si>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</si>
  <si>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</si>
  <si>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</si>
  <si>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</si>
  <si>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</si>
  <si>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</si>
  <si>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</si>
  <si>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</si>
  <si>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</si>
  <si>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</si>
  <si>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</si>
  <si>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</si>
  <si>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</si>
  <si>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</si>
  <si>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</si>
  <si>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</si>
  <si>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</si>
  <si>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</si>
  <si>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</si>
  <si>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</si>
  <si>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</si>
  <si>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</si>
  <si>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</si>
  <si>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</si>
  <si>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</si>
  <si>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</si>
  <si>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</si>
  <si>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</si>
  <si>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</si>
  <si>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</si>
  <si>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</si>
  <si>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</si>
  <si>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</si>
  <si>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</si>
  <si>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</si>
  <si>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</si>
  <si>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</si>
  <si>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</si>
  <si>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</si>
  <si>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</si>
  <si>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</si>
  <si>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</si>
  <si>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</si>
  <si>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</si>
  <si>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</si>
  <si>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</si>
  <si>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</si>
  <si>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</si>
  <si>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</si>
  <si>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</si>
  <si>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</si>
  <si>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</si>
  <si>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</si>
  <si>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</si>
  <si>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</si>
  <si>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</si>
  <si>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</si>
  <si>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</si>
  <si>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</si>
  <si>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</si>
  <si>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</si>
  <si>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</si>
  <si>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</si>
  <si>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</si>
  <si>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</si>
  <si>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</si>
  <si>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</si>
  <si>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</si>
  <si>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</si>
  <si>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</si>
  <si>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</si>
  <si>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</si>
  <si>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</si>
  <si>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</si>
  <si>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</si>
  <si>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</si>
  <si>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</si>
  <si>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</si>
  <si>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</si>
  <si>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</si>
  <si>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</si>
  <si>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</si>
  <si>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</si>
  <si>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</si>
  <si>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</si>
  <si>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</si>
  <si>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</si>
  <si>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</si>
  <si>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</si>
  <si>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</si>
  <si>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</si>
  <si>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</si>
  <si>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</si>
  <si>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</si>
  <si>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</si>
  <si>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</si>
  <si>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</si>
  <si>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</si>
  <si>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</si>
  <si>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</si>
  <si>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</si>
  <si>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</si>
  <si>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</si>
  <si>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</si>
  <si>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</si>
  <si>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</si>
  <si>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</si>
  <si>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</si>
  <si>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</si>
  <si>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</si>
  <si>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</si>
  <si>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</si>
  <si>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</si>
  <si>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</si>
  <si>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</si>
  <si>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</si>
  <si>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</si>
  <si>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</si>
  <si>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</si>
  <si>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</si>
  <si>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</si>
  <si>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</si>
  <si>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</si>
  <si>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</si>
  <si>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</si>
  <si>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</si>
  <si>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</si>
  <si>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</si>
  <si>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</si>
  <si>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</si>
  <si>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</si>
  <si>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</si>
  <si>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</si>
  <si>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</si>
  <si>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</si>
  <si>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</si>
  <si>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</si>
  <si>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</si>
  <si>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</si>
  <si>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</si>
  <si>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</si>
  <si>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</si>
  <si>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</si>
  <si>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</si>
  <si>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</si>
  <si>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</si>
  <si>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</si>
  <si>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</si>
  <si>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</si>
  <si>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</si>
  <si>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</si>
  <si>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</si>
  <si>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</si>
  <si>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</si>
  <si>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</si>
  <si>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</si>
  <si>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</si>
  <si>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</si>
  <si>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</si>
  <si>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</si>
  <si>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</si>
  <si>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</si>
  <si>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</si>
  <si>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</si>
  <si>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</si>
  <si>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</si>
  <si>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</si>
  <si>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</si>
  <si>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</si>
  <si>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</si>
  <si>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</si>
  <si>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</si>
  <si>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</si>
  <si>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</si>
  <si>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</si>
  <si>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</si>
  <si>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</si>
  <si>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</si>
  <si>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</si>
  <si>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</si>
  <si>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</si>
  <si>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</si>
  <si>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</si>
  <si>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</si>
  <si>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</si>
  <si>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</si>
  <si>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</si>
  <si>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</si>
  <si>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</si>
  <si>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</si>
  <si>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</si>
  <si>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</si>
  <si>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</si>
  <si>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</si>
  <si>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</si>
  <si>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</si>
  <si>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</si>
  <si>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</si>
  <si>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</si>
  <si>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</si>
  <si>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</si>
  <si>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</si>
  <si>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</si>
  <si>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</si>
  <si>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</si>
  <si>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</si>
  <si>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</si>
  <si>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</si>
  <si>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</si>
  <si>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</si>
  <si>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</si>
  <si>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</si>
  <si>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</si>
  <si>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</si>
  <si>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</si>
  <si>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</si>
  <si>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</si>
  <si>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</si>
  <si>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</si>
  <si>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</si>
  <si>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</si>
  <si>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</si>
  <si>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</si>
  <si>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</si>
  <si>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</si>
  <si>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</si>
  <si>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</si>
  <si>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</si>
  <si>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</si>
  <si>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</si>
  <si>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</si>
  <si>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</si>
  <si>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</si>
  <si>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</si>
  <si>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</si>
  <si>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</si>
  <si>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</si>
  <si>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</si>
  <si>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</si>
  <si>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</si>
  <si>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</si>
  <si>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</si>
  <si>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</si>
  <si>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</si>
  <si>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</si>
  <si>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</si>
  <si>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</si>
  <si>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</si>
  <si>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</si>
  <si>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</si>
  <si>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</si>
  <si>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</si>
  <si>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</si>
  <si>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</si>
  <si>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</si>
  <si>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</si>
  <si>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</si>
  <si>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</si>
  <si>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</si>
  <si>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</si>
  <si>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</si>
  <si>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</si>
  <si>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</si>
  <si>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</si>
  <si>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</si>
  <si>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</si>
  <si>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</si>
  <si>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</si>
  <si>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</si>
  <si>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</si>
  <si>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</si>
  <si>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</si>
  <si>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</si>
  <si>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</si>
  <si>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</si>
  <si>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</si>
  <si>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</si>
  <si>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</si>
  <si>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</si>
  <si>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</si>
  <si>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</si>
  <si>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</si>
  <si>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</si>
  <si>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</si>
  <si>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</si>
  <si>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</si>
  <si>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</si>
  <si>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</si>
  <si>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</si>
  <si>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</si>
  <si>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</si>
  <si>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</si>
  <si>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</si>
  <si>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</si>
  <si>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</si>
  <si>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</si>
  <si>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</si>
  <si>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</si>
  <si>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</si>
  <si>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</si>
  <si>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</si>
  <si>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</si>
  <si>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</si>
  <si>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</si>
  <si>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</si>
  <si>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</si>
  <si>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</si>
  <si>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</si>
  <si>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</si>
  <si>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</si>
  <si>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</si>
  <si>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</si>
  <si>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</si>
  <si>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</si>
  <si>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</si>
  <si>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</si>
  <si>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</si>
  <si>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</si>
  <si>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</si>
  <si>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</si>
  <si>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</si>
  <si>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</si>
  <si>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</si>
  <si>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</si>
  <si>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</si>
  <si>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</si>
  <si>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</si>
  <si>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</si>
  <si>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</si>
  <si>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</si>
  <si>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</si>
  <si>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</si>
  <si>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</si>
  <si>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</si>
  <si>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</si>
  <si>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</si>
  <si>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</si>
  <si>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</si>
  <si>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</si>
  <si>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</si>
  <si>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</si>
  <si>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</si>
  <si>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</si>
  <si>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</si>
  <si>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</si>
  <si>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</si>
  <si>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</si>
  <si>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</si>
  <si>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</si>
  <si>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</si>
  <si>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</si>
  <si>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</si>
  <si>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</si>
  <si>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</si>
  <si>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</si>
  <si>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</si>
  <si>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</si>
  <si>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</si>
  <si>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</si>
  <si>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</si>
  <si>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</si>
  <si>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</si>
  <si>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</si>
  <si>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</si>
  <si>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</si>
  <si>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</si>
  <si>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</si>
  <si>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</si>
  <si>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</si>
  <si>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</si>
  <si>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</si>
  <si>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</si>
  <si>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</si>
  <si>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</si>
  <si>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</si>
  <si>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</si>
  <si>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</si>
  <si>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</si>
  <si>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</si>
  <si>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</si>
  <si>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</si>
  <si>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</si>
  <si>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</si>
  <si>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</si>
  <si>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</si>
  <si>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</si>
  <si>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</si>
  <si>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</si>
  <si>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</si>
  <si>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</si>
  <si>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</si>
  <si>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</si>
  <si>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</si>
  <si>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</si>
  <si>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</si>
  <si>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</si>
  <si>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</si>
  <si>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</si>
  <si>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</si>
  <si>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</si>
  <si>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</si>
  <si>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</si>
  <si>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</si>
  <si>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</si>
  <si>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</si>
  <si>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</si>
  <si>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</si>
  <si>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</si>
  <si>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</si>
  <si>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</si>
  <si>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</si>
  <si>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</si>
  <si>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</si>
  <si>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</si>
  <si>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</si>
  <si>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</si>
  <si>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</si>
  <si>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</si>
  <si>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</si>
  <si>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</si>
  <si>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</si>
  <si>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</si>
  <si>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</si>
  <si>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</si>
  <si>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</si>
  <si>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</si>
  <si>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</si>
  <si>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</si>
  <si>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</si>
  <si>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</si>
  <si>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</si>
  <si>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</si>
  <si>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</si>
  <si>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</si>
  <si>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</si>
  <si>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</si>
  <si>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</si>
  <si>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</si>
  <si>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</si>
  <si>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</si>
  <si>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</si>
  <si>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</si>
  <si>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</si>
  <si>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</si>
  <si>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</si>
  <si>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</si>
  <si>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</si>
  <si>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</si>
  <si>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</si>
  <si>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</si>
  <si>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</si>
  <si>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</si>
  <si>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</si>
  <si>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</si>
  <si>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</si>
  <si>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</si>
  <si>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</si>
  <si>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</si>
  <si>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</si>
  <si>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</si>
  <si>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</si>
  <si>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</si>
  <si>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</si>
  <si>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</si>
  <si>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</si>
  <si>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</si>
  <si>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</si>
  <si>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</si>
  <si>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</si>
  <si>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</si>
  <si>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</si>
  <si>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</si>
  <si>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</si>
  <si>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</si>
  <si>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</si>
  <si>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</si>
  <si>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</si>
  <si>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</si>
  <si>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</si>
  <si>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</si>
  <si>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</si>
  <si>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</si>
  <si>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</si>
  <si>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</si>
  <si>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</si>
  <si>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</si>
  <si>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</si>
  <si>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</si>
  <si>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</si>
  <si>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</si>
  <si>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</si>
  <si>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</si>
  <si>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</si>
  <si>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</si>
  <si>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</si>
  <si>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</si>
  <si>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</si>
  <si>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</si>
  <si>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</si>
  <si>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</si>
  <si>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</si>
  <si>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</si>
  <si>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</si>
  <si>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</si>
  <si>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</si>
  <si>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</si>
  <si>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</si>
  <si>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</si>
  <si>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</si>
  <si>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</si>
  <si>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</si>
  <si>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</si>
  <si>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</si>
  <si>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</si>
  <si>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</si>
  <si>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</si>
  <si>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</si>
  <si>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</si>
  <si>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</si>
  <si>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</si>
  <si>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</si>
  <si>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</si>
  <si>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</si>
  <si>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</si>
  <si>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</si>
  <si>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</si>
  <si>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</si>
  <si>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</si>
  <si>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</si>
  <si>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</si>
  <si>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</si>
  <si>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</si>
  <si>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</si>
  <si>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</si>
  <si>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</si>
  <si>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</si>
  <si>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</si>
  <si>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</si>
  <si>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</si>
  <si>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</si>
  <si>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</si>
  <si>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</si>
  <si>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</si>
  <si>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</si>
  <si>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</si>
  <si>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</si>
  <si>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</si>
  <si>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</si>
  <si>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</si>
  <si>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</si>
  <si>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</si>
  <si>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</si>
  <si>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</si>
  <si>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</si>
  <si>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</si>
  <si>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</si>
  <si>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</si>
  <si>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</si>
  <si>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</si>
  <si>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</si>
  <si>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</si>
  <si>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</si>
  <si>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</si>
  <si>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</si>
  <si>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</si>
  <si>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</si>
  <si>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</si>
  <si>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</si>
  <si>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</si>
  <si>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</si>
  <si>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</si>
  <si>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</si>
  <si>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</si>
  <si>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</si>
  <si>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</si>
  <si>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</si>
  <si>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</si>
  <si>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</si>
  <si>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</si>
  <si>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</si>
  <si>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</si>
  <si>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</si>
  <si>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</si>
  <si>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</si>
  <si>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</si>
  <si>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Colebrook School District</t>
  </si>
  <si>
    <t>7 &amp; 11</t>
  </si>
  <si>
    <t>1100-700 NFR in a separate fund for the District, DOE 25 moved to general fund 2973.64</t>
  </si>
  <si>
    <t>2190-800 booked FFV grant 13694.52 we carry as 3100-800</t>
  </si>
  <si>
    <t>06/2001</t>
  </si>
  <si>
    <t>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</si>
</sst>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20" zoomScaleNormal="120" workbookViewId="0">
      <pane xSplit="5" ySplit="3" topLeftCell="F16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105</v>
      </c>
      <c r="C2" s="21">
        <v>105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548808.86</v>
      </c>
      <c r="G9" s="18">
        <v>17641.5</v>
      </c>
      <c r="H9" s="18"/>
      <c r="I9" s="18"/>
      <c r="J9" s="67">
        <f>SUM(I439)</f>
        <v>517902.5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68229.08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76076.179999999993</v>
      </c>
      <c r="G13" s="18">
        <v>1865.92</v>
      </c>
      <c r="H13" s="18">
        <v>86977.75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2854.41</v>
      </c>
      <c r="G14" s="18">
        <v>37.6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5833.01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695968.52999999991</v>
      </c>
      <c r="G19" s="41">
        <f>SUM(G9:G18)</f>
        <v>25378.03</v>
      </c>
      <c r="H19" s="41">
        <f>SUM(H9:H18)</f>
        <v>86977.75</v>
      </c>
      <c r="I19" s="41">
        <f>SUM(I9:I18)</f>
        <v>0</v>
      </c>
      <c r="J19" s="41">
        <f>SUM(J9:J18)</f>
        <v>517902.5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45225.68+227.46+25552.57-451-5805.31-397.44+2958.27+918.85</f>
        <v>68229.08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26293.66</v>
      </c>
      <c r="G24" s="18">
        <f>8524.77</f>
        <v>8524.77</v>
      </c>
      <c r="H24" s="18">
        <v>12094.92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27552.73+2071.31+1355.52</f>
        <v>30979.56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15941.48</f>
        <v>15941.48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31079.82</v>
      </c>
      <c r="G30" s="18"/>
      <c r="H30" s="18">
        <f>451+5805.31+397.44</f>
        <v>6653.75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104294.51999999999</v>
      </c>
      <c r="G32" s="41">
        <f>SUM(G22:G31)</f>
        <v>8524.77</v>
      </c>
      <c r="H32" s="41">
        <f>SUM(H22:H31)</f>
        <v>86977.75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5833.01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6074.1+190348.11-185401.96</f>
        <v>11020.25</v>
      </c>
      <c r="H48" s="18"/>
      <c r="I48" s="18"/>
      <c r="J48" s="13">
        <f>SUM(I459)</f>
        <v>517902.5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582731.41+6159261.03-6150318.43</f>
        <v>591674.01000000071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591674.01000000071</v>
      </c>
      <c r="G51" s="41">
        <f>SUM(G35:G50)</f>
        <v>16853.260000000002</v>
      </c>
      <c r="H51" s="41">
        <f>SUM(H35:H50)</f>
        <v>0</v>
      </c>
      <c r="I51" s="41">
        <f>SUM(I35:I50)</f>
        <v>0</v>
      </c>
      <c r="J51" s="41">
        <f>SUM(J35:J50)</f>
        <v>517902.5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695968.53000000073</v>
      </c>
      <c r="G52" s="41">
        <f>G51+G32</f>
        <v>25378.030000000002</v>
      </c>
      <c r="H52" s="41">
        <f>H51+H32</f>
        <v>86977.75</v>
      </c>
      <c r="I52" s="41">
        <f>I51+I32</f>
        <v>0</v>
      </c>
      <c r="J52" s="41">
        <f>J51+J32</f>
        <v>517902.5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2015982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2015982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3250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10800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1197671.26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218631.19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1430352.45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57.16</v>
      </c>
      <c r="G96" s="18"/>
      <c r="H96" s="18"/>
      <c r="I96" s="18"/>
      <c r="J96" s="18">
        <v>6120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77821.66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18674.189999999999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143973.38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2803.77</v>
      </c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72571.44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1438.37+6842</f>
        <v>8280.369999999999</v>
      </c>
      <c r="G110" s="18">
        <v>55.95</v>
      </c>
      <c r="H110" s="18">
        <f>2717+4810.22+1200.92</f>
        <v>8728.14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246360.31</v>
      </c>
      <c r="G111" s="41">
        <f>SUM(G96:G110)</f>
        <v>77877.61</v>
      </c>
      <c r="H111" s="41">
        <f>SUM(H96:H110)</f>
        <v>8728.14</v>
      </c>
      <c r="I111" s="41">
        <f>SUM(I96:I110)</f>
        <v>0</v>
      </c>
      <c r="J111" s="41">
        <f>SUM(J96:J110)</f>
        <v>6120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3692694.7600000002</v>
      </c>
      <c r="G112" s="41">
        <f>G60+G111</f>
        <v>77877.61</v>
      </c>
      <c r="H112" s="41">
        <f>H60+H79+H94+H111</f>
        <v>8728.14</v>
      </c>
      <c r="I112" s="41">
        <f>I60+I111</f>
        <v>0</v>
      </c>
      <c r="J112" s="41">
        <f>J60+J111</f>
        <v>6120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1889254.73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392867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2282121.73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158313.70000000001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2793.98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158313.70000000001</v>
      </c>
      <c r="G136" s="41">
        <f>SUM(G123:G135)</f>
        <v>2793.98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2440435.4300000002</v>
      </c>
      <c r="G140" s="41">
        <f>G121+SUM(G136:G137)</f>
        <v>2793.98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918.85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918.85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195451.1+7452.12</f>
        <v>202903.22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3418.64+2927.03+18668.74+13694.52</f>
        <v>38708.930000000008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86676.52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62502.17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10604.59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10604.59</v>
      </c>
      <c r="G162" s="41">
        <f>SUM(G150:G161)</f>
        <v>86676.52</v>
      </c>
      <c r="H162" s="41">
        <f>SUM(H150:H161)</f>
        <v>304114.32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2973.64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13578.23</v>
      </c>
      <c r="G169" s="41">
        <f>G147+G162+SUM(G163:G168)</f>
        <v>86676.52</v>
      </c>
      <c r="H169" s="41">
        <f>H147+H162+SUM(H163:H168)</f>
        <v>305033.17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23000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15526.25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15526.25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 t="s">
        <v>287</v>
      </c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15526.25</v>
      </c>
      <c r="G192" s="41">
        <f>G183+SUM(G188:G191)</f>
        <v>23000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6162234.6700000009</v>
      </c>
      <c r="G193" s="47">
        <f>G112+G140+G169+G192</f>
        <v>190348.11</v>
      </c>
      <c r="H193" s="47">
        <f>H112+H140+H169+H192</f>
        <v>313761.31</v>
      </c>
      <c r="I193" s="47">
        <f>I112+I140+I169+I192</f>
        <v>0</v>
      </c>
      <c r="J193" s="47">
        <f>J112+J140+J192</f>
        <v>6120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836416.12</v>
      </c>
      <c r="G197" s="18">
        <v>471930.72</v>
      </c>
      <c r="H197" s="18">
        <f>2200+2690.76+10160</f>
        <v>15050.76</v>
      </c>
      <c r="I197" s="18">
        <v>36170.69</v>
      </c>
      <c r="J197" s="18">
        <f>1046.73+2973.64</f>
        <v>4020.37</v>
      </c>
      <c r="K197" s="18">
        <v>399</v>
      </c>
      <c r="L197" s="19">
        <f>SUM(F197:K197)</f>
        <v>1363987.66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294006.09999999998</v>
      </c>
      <c r="G198" s="18">
        <v>90894.65</v>
      </c>
      <c r="H198" s="18">
        <f>0+14136</f>
        <v>14136</v>
      </c>
      <c r="I198" s="18">
        <v>206.5</v>
      </c>
      <c r="J198" s="18">
        <v>0</v>
      </c>
      <c r="K198" s="18">
        <v>36.39</v>
      </c>
      <c r="L198" s="19">
        <f>SUM(F198:K198)</f>
        <v>399279.64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14272.4</v>
      </c>
      <c r="G200" s="18">
        <v>2128.79</v>
      </c>
      <c r="H200" s="18">
        <v>716.89</v>
      </c>
      <c r="I200" s="18"/>
      <c r="J200" s="18"/>
      <c r="K200" s="18">
        <v>135</v>
      </c>
      <c r="L200" s="19">
        <f>SUM(F200:K200)</f>
        <v>17253.079999999998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188837.67</v>
      </c>
      <c r="G202" s="18">
        <v>49282.39</v>
      </c>
      <c r="H202" s="18">
        <f>150594.32+210+484.1</f>
        <v>151288.42000000001</v>
      </c>
      <c r="I202" s="18">
        <v>4764.1400000000003</v>
      </c>
      <c r="J202" s="18">
        <v>22353.599999999999</v>
      </c>
      <c r="K202" s="18">
        <v>4560.54</v>
      </c>
      <c r="L202" s="19">
        <f t="shared" ref="L202:L208" si="0">SUM(F202:K202)</f>
        <v>421086.75999999995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33115.39</v>
      </c>
      <c r="G203" s="18">
        <v>17931.41</v>
      </c>
      <c r="H203" s="18">
        <f>3430.57+222.46</f>
        <v>3653.03</v>
      </c>
      <c r="I203" s="18">
        <v>4564.78</v>
      </c>
      <c r="J203" s="18">
        <v>350</v>
      </c>
      <c r="K203" s="18">
        <f>4137+3350</f>
        <v>7487</v>
      </c>
      <c r="L203" s="19">
        <f t="shared" si="0"/>
        <v>67101.61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5810</v>
      </c>
      <c r="G204" s="18">
        <v>447.33</v>
      </c>
      <c r="H204" s="18">
        <f>241592.25+13664.89</f>
        <v>255257.14</v>
      </c>
      <c r="I204" s="18">
        <v>594.29999999999995</v>
      </c>
      <c r="J204" s="18">
        <v>0</v>
      </c>
      <c r="K204" s="18">
        <v>2755.7</v>
      </c>
      <c r="L204" s="19">
        <f t="shared" si="0"/>
        <v>264864.46999999997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140018.51</v>
      </c>
      <c r="G205" s="18">
        <v>59283.89</v>
      </c>
      <c r="H205" s="18">
        <f>1867.26+155.77+5806.83</f>
        <v>7829.86</v>
      </c>
      <c r="I205" s="18">
        <v>4139.79</v>
      </c>
      <c r="J205" s="18">
        <v>0</v>
      </c>
      <c r="K205" s="18">
        <v>765</v>
      </c>
      <c r="L205" s="19">
        <f t="shared" si="0"/>
        <v>212037.05000000002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101124.26</v>
      </c>
      <c r="G207" s="18">
        <v>62042</v>
      </c>
      <c r="H207" s="18">
        <f>19903.38+46147.61+13847.39</f>
        <v>79898.38</v>
      </c>
      <c r="I207" s="18">
        <v>144180.54</v>
      </c>
      <c r="J207" s="18">
        <v>13858.98</v>
      </c>
      <c r="K207" s="18">
        <v>223.05</v>
      </c>
      <c r="L207" s="19">
        <f t="shared" si="0"/>
        <v>401327.21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8146.71</v>
      </c>
      <c r="G208" s="18">
        <v>620.92999999999995</v>
      </c>
      <c r="H208" s="18">
        <f>2236+127381.58</f>
        <v>129617.58</v>
      </c>
      <c r="I208" s="18">
        <v>3710.89</v>
      </c>
      <c r="J208" s="18">
        <v>0</v>
      </c>
      <c r="K208" s="18">
        <v>1017.78</v>
      </c>
      <c r="L208" s="19">
        <f t="shared" si="0"/>
        <v>143113.89000000001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1621747.1599999997</v>
      </c>
      <c r="G211" s="41">
        <f t="shared" si="1"/>
        <v>754562.1100000001</v>
      </c>
      <c r="H211" s="41">
        <f t="shared" si="1"/>
        <v>657448.05999999994</v>
      </c>
      <c r="I211" s="41">
        <f t="shared" si="1"/>
        <v>198331.63000000003</v>
      </c>
      <c r="J211" s="41">
        <f t="shared" si="1"/>
        <v>40582.949999999997</v>
      </c>
      <c r="K211" s="41">
        <f t="shared" si="1"/>
        <v>17379.46</v>
      </c>
      <c r="L211" s="41">
        <f t="shared" si="1"/>
        <v>3290051.3699999996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671793.62</v>
      </c>
      <c r="G233" s="18">
        <v>396279.93</v>
      </c>
      <c r="H233" s="18">
        <f>13837.5+2516.54+9103</f>
        <v>25457.040000000001</v>
      </c>
      <c r="I233" s="18">
        <v>27100.65</v>
      </c>
      <c r="J233" s="18">
        <v>24213.47</v>
      </c>
      <c r="K233" s="18">
        <v>204.3</v>
      </c>
      <c r="L233" s="19">
        <f>SUM(F233:K233)</f>
        <v>1145049.01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110996.82</v>
      </c>
      <c r="G234" s="18">
        <v>50407.69</v>
      </c>
      <c r="H234" s="18">
        <f>200+68603.84</f>
        <v>68803.839999999997</v>
      </c>
      <c r="I234" s="18">
        <v>295.61</v>
      </c>
      <c r="J234" s="18"/>
      <c r="K234" s="18"/>
      <c r="L234" s="19">
        <f>SUM(F234:K234)</f>
        <v>230503.96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74995.600000000006</v>
      </c>
      <c r="G236" s="18">
        <v>10460.56</v>
      </c>
      <c r="H236" s="18">
        <f>10152+1271.55</f>
        <v>11423.55</v>
      </c>
      <c r="I236" s="18">
        <v>5259.39</v>
      </c>
      <c r="J236" s="18">
        <v>0</v>
      </c>
      <c r="K236" s="18">
        <v>9761</v>
      </c>
      <c r="L236" s="19">
        <f>SUM(F236:K236)</f>
        <v>111900.1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107944.63</v>
      </c>
      <c r="G238" s="18">
        <v>54539.33</v>
      </c>
      <c r="H238" s="18">
        <f>32934.44+110+277</f>
        <v>33321.440000000002</v>
      </c>
      <c r="I238" s="18">
        <v>1910.74</v>
      </c>
      <c r="J238" s="18">
        <v>7738.05</v>
      </c>
      <c r="K238" s="18">
        <v>7521.29</v>
      </c>
      <c r="L238" s="19">
        <f t="shared" ref="L238:L244" si="4">SUM(F238:K238)</f>
        <v>212975.48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33854.199999999997</v>
      </c>
      <c r="G239" s="18">
        <v>20997.37</v>
      </c>
      <c r="H239" s="18">
        <f>2620.06+286.96</f>
        <v>2907.02</v>
      </c>
      <c r="I239" s="18">
        <v>4074.59</v>
      </c>
      <c r="J239" s="18">
        <v>350</v>
      </c>
      <c r="K239" s="18">
        <f>6227+3350</f>
        <v>9577</v>
      </c>
      <c r="L239" s="19">
        <f t="shared" si="4"/>
        <v>71760.179999999993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2490</v>
      </c>
      <c r="G240" s="18">
        <v>190.48</v>
      </c>
      <c r="H240" s="18">
        <f>111199.71+5163.2</f>
        <v>116362.91</v>
      </c>
      <c r="I240" s="18">
        <v>470.08</v>
      </c>
      <c r="J240" s="18">
        <v>0</v>
      </c>
      <c r="K240" s="18">
        <v>1243.6600000000001</v>
      </c>
      <c r="L240" s="19">
        <f t="shared" si="4"/>
        <v>120757.13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123266.38</v>
      </c>
      <c r="G241" s="18">
        <v>51592.82</v>
      </c>
      <c r="H241" s="18">
        <f>3703.98+7172.67</f>
        <v>10876.65</v>
      </c>
      <c r="I241" s="18">
        <v>1744.67</v>
      </c>
      <c r="J241" s="18">
        <v>189.99</v>
      </c>
      <c r="K241" s="18">
        <v>1344</v>
      </c>
      <c r="L241" s="19">
        <f t="shared" si="4"/>
        <v>189014.51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71980.350000000006</v>
      </c>
      <c r="G243" s="18">
        <v>25098.05</v>
      </c>
      <c r="H243" s="18">
        <f>13483.38+31433.76+6064.71</f>
        <v>50981.85</v>
      </c>
      <c r="I243" s="18">
        <v>69666.59</v>
      </c>
      <c r="J243" s="18">
        <v>2404.7399999999998</v>
      </c>
      <c r="K243" s="18">
        <v>160</v>
      </c>
      <c r="L243" s="19">
        <f t="shared" si="4"/>
        <v>220291.58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1793.92</v>
      </c>
      <c r="G244" s="18">
        <v>137.25</v>
      </c>
      <c r="H244" s="18">
        <v>85568.61</v>
      </c>
      <c r="I244" s="18">
        <v>59.69</v>
      </c>
      <c r="J244" s="18">
        <v>0</v>
      </c>
      <c r="K244" s="18">
        <v>93.28</v>
      </c>
      <c r="L244" s="19">
        <f t="shared" si="4"/>
        <v>87652.75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1199115.52</v>
      </c>
      <c r="G247" s="41">
        <f t="shared" si="5"/>
        <v>609703.48</v>
      </c>
      <c r="H247" s="41">
        <f t="shared" si="5"/>
        <v>405702.91</v>
      </c>
      <c r="I247" s="41">
        <f t="shared" si="5"/>
        <v>110582.01</v>
      </c>
      <c r="J247" s="41">
        <f t="shared" si="5"/>
        <v>34896.25</v>
      </c>
      <c r="K247" s="41">
        <f t="shared" si="5"/>
        <v>29904.53</v>
      </c>
      <c r="L247" s="41">
        <f t="shared" si="5"/>
        <v>2389904.6999999997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10000</v>
      </c>
      <c r="I255" s="18"/>
      <c r="J255" s="18"/>
      <c r="K255" s="18"/>
      <c r="L255" s="19">
        <f t="shared" si="6"/>
        <v>10000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10000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10000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2820862.6799999997</v>
      </c>
      <c r="G257" s="41">
        <f t="shared" si="8"/>
        <v>1364265.59</v>
      </c>
      <c r="H257" s="41">
        <f t="shared" si="8"/>
        <v>1073150.97</v>
      </c>
      <c r="I257" s="41">
        <f t="shared" si="8"/>
        <v>308913.64</v>
      </c>
      <c r="J257" s="41">
        <f t="shared" si="8"/>
        <v>75479.199999999997</v>
      </c>
      <c r="K257" s="41">
        <f t="shared" si="8"/>
        <v>47283.99</v>
      </c>
      <c r="L257" s="41">
        <f t="shared" si="8"/>
        <v>5689956.0699999994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390000</v>
      </c>
      <c r="L260" s="19">
        <f>SUM(F260:K260)</f>
        <v>390000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27300</v>
      </c>
      <c r="L261" s="19">
        <f>SUM(F261:K261)</f>
        <v>27300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15800+7200</f>
        <v>23000</v>
      </c>
      <c r="L263" s="19">
        <f>SUM(F263:K263)</f>
        <v>23000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23036</v>
      </c>
      <c r="L268" s="19">
        <f t="shared" si="9"/>
        <v>23036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463336</v>
      </c>
      <c r="L270" s="41">
        <f t="shared" si="9"/>
        <v>463336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2820862.6799999997</v>
      </c>
      <c r="G271" s="42">
        <f t="shared" si="11"/>
        <v>1364265.59</v>
      </c>
      <c r="H271" s="42">
        <f t="shared" si="11"/>
        <v>1073150.97</v>
      </c>
      <c r="I271" s="42">
        <f t="shared" si="11"/>
        <v>308913.64</v>
      </c>
      <c r="J271" s="42">
        <f t="shared" si="11"/>
        <v>75479.199999999997</v>
      </c>
      <c r="K271" s="42">
        <f t="shared" si="11"/>
        <v>510619.99</v>
      </c>
      <c r="L271" s="42">
        <f t="shared" si="11"/>
        <v>6153292.0699999994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125971</v>
      </c>
      <c r="G276" s="18">
        <v>48568.800000000003</v>
      </c>
      <c r="H276" s="18"/>
      <c r="I276" s="18">
        <v>3744.51</v>
      </c>
      <c r="J276" s="18">
        <f>18584.05-2973.64</f>
        <v>15610.41</v>
      </c>
      <c r="K276" s="18"/>
      <c r="L276" s="19">
        <f>SUM(F276:K276)</f>
        <v>193894.72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33947.519999999997</v>
      </c>
      <c r="G277" s="18">
        <v>16126.19</v>
      </c>
      <c r="H277" s="18"/>
      <c r="I277" s="18"/>
      <c r="J277" s="18">
        <v>1500</v>
      </c>
      <c r="K277" s="18"/>
      <c r="L277" s="19">
        <f>SUM(F277:K277)</f>
        <v>51573.71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3845.14</v>
      </c>
      <c r="G279" s="18">
        <v>741.16</v>
      </c>
      <c r="H279" s="18"/>
      <c r="I279" s="18"/>
      <c r="J279" s="18"/>
      <c r="K279" s="18"/>
      <c r="L279" s="19">
        <f>SUM(F279:K279)</f>
        <v>4586.3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8767.7099999999991</v>
      </c>
      <c r="G281" s="18">
        <v>670.75</v>
      </c>
      <c r="H281" s="18"/>
      <c r="I281" s="18"/>
      <c r="J281" s="18"/>
      <c r="K281" s="18">
        <v>13694.52</v>
      </c>
      <c r="L281" s="19">
        <f t="shared" ref="L281:L287" si="12">SUM(F281:K281)</f>
        <v>23132.98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1976</v>
      </c>
      <c r="G282" s="18">
        <v>409.28</v>
      </c>
      <c r="H282" s="18">
        <f>13693.05+1152.31</f>
        <v>14845.359999999999</v>
      </c>
      <c r="I282" s="18">
        <v>1735.7</v>
      </c>
      <c r="J282" s="18"/>
      <c r="K282" s="18">
        <v>1310</v>
      </c>
      <c r="L282" s="19">
        <f t="shared" si="12"/>
        <v>20276.34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3150</v>
      </c>
      <c r="G283" s="18">
        <v>724.68</v>
      </c>
      <c r="H283" s="18">
        <v>211.5</v>
      </c>
      <c r="I283" s="18"/>
      <c r="J283" s="18"/>
      <c r="K283" s="18">
        <v>2490</v>
      </c>
      <c r="L283" s="19">
        <f t="shared" si="12"/>
        <v>6576.18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177657.37</v>
      </c>
      <c r="G290" s="42">
        <f t="shared" si="13"/>
        <v>67240.86</v>
      </c>
      <c r="H290" s="42">
        <f t="shared" si="13"/>
        <v>15056.859999999999</v>
      </c>
      <c r="I290" s="42">
        <f t="shared" si="13"/>
        <v>5480.21</v>
      </c>
      <c r="J290" s="42">
        <f t="shared" si="13"/>
        <v>17110.41</v>
      </c>
      <c r="K290" s="42">
        <f t="shared" si="13"/>
        <v>17494.52</v>
      </c>
      <c r="L290" s="41">
        <f t="shared" si="13"/>
        <v>300040.23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176.7</v>
      </c>
      <c r="J314" s="18">
        <v>4740.5</v>
      </c>
      <c r="K314" s="18">
        <v>2287</v>
      </c>
      <c r="L314" s="19">
        <f>SUM(F314:K314)</f>
        <v>7204.2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1191</v>
      </c>
      <c r="G320" s="18">
        <v>255.83</v>
      </c>
      <c r="H320" s="18">
        <f>1560+825.83</f>
        <v>2385.83</v>
      </c>
      <c r="I320" s="18">
        <v>1519.22</v>
      </c>
      <c r="J320" s="18"/>
      <c r="K320" s="18">
        <v>735</v>
      </c>
      <c r="L320" s="19">
        <f t="shared" si="16"/>
        <v>6086.88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>
        <v>430</v>
      </c>
      <c r="L325" s="19">
        <f t="shared" si="16"/>
        <v>430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1191</v>
      </c>
      <c r="G328" s="42">
        <f t="shared" si="17"/>
        <v>255.83</v>
      </c>
      <c r="H328" s="42">
        <f t="shared" si="17"/>
        <v>2385.83</v>
      </c>
      <c r="I328" s="42">
        <f t="shared" si="17"/>
        <v>1695.92</v>
      </c>
      <c r="J328" s="42">
        <f t="shared" si="17"/>
        <v>4740.5</v>
      </c>
      <c r="K328" s="42">
        <f t="shared" si="17"/>
        <v>3452</v>
      </c>
      <c r="L328" s="41">
        <f t="shared" si="17"/>
        <v>13721.08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178848.37</v>
      </c>
      <c r="G338" s="41">
        <f t="shared" si="20"/>
        <v>67496.69</v>
      </c>
      <c r="H338" s="41">
        <f t="shared" si="20"/>
        <v>17442.689999999999</v>
      </c>
      <c r="I338" s="41">
        <f t="shared" si="20"/>
        <v>7176.13</v>
      </c>
      <c r="J338" s="41">
        <f t="shared" si="20"/>
        <v>21850.91</v>
      </c>
      <c r="K338" s="41">
        <f t="shared" si="20"/>
        <v>20946.52</v>
      </c>
      <c r="L338" s="41">
        <f t="shared" si="20"/>
        <v>313761.31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178848.37</v>
      </c>
      <c r="G352" s="41">
        <f>G338</f>
        <v>67496.69</v>
      </c>
      <c r="H352" s="41">
        <f>H338</f>
        <v>17442.689999999999</v>
      </c>
      <c r="I352" s="41">
        <f>I338</f>
        <v>7176.13</v>
      </c>
      <c r="J352" s="41">
        <f>J338</f>
        <v>21850.91</v>
      </c>
      <c r="K352" s="47">
        <f>K338+K351</f>
        <v>20946.52</v>
      </c>
      <c r="L352" s="41">
        <f>L338+L351</f>
        <v>313761.31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1402.01+67.21+124126.51</f>
        <v>125595.73</v>
      </c>
      <c r="I358" s="18">
        <v>1096.03</v>
      </c>
      <c r="J358" s="18"/>
      <c r="K358" s="18"/>
      <c r="L358" s="13">
        <f>SUM(F358:K358)</f>
        <v>126691.76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>
        <v>0.94</v>
      </c>
      <c r="H360" s="18">
        <f>114+58412.48</f>
        <v>58526.48</v>
      </c>
      <c r="I360" s="18">
        <v>182.78</v>
      </c>
      <c r="J360" s="18"/>
      <c r="K360" s="18"/>
      <c r="L360" s="19">
        <f>SUM(F360:K360)</f>
        <v>58710.200000000004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0.94</v>
      </c>
      <c r="H362" s="47">
        <f t="shared" si="22"/>
        <v>184122.21</v>
      </c>
      <c r="I362" s="47">
        <f t="shared" si="22"/>
        <v>1278.81</v>
      </c>
      <c r="J362" s="47">
        <f t="shared" si="22"/>
        <v>0</v>
      </c>
      <c r="K362" s="47">
        <f t="shared" si="22"/>
        <v>0</v>
      </c>
      <c r="L362" s="47">
        <f t="shared" si="22"/>
        <v>185401.96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1096.03</v>
      </c>
      <c r="G368" s="63"/>
      <c r="H368" s="63">
        <v>182.78</v>
      </c>
      <c r="I368" s="56">
        <f>SUM(F368:H368)</f>
        <v>1278.81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1096.03</v>
      </c>
      <c r="G369" s="47">
        <f>SUM(G367:G368)</f>
        <v>0</v>
      </c>
      <c r="H369" s="47">
        <f>SUM(H367:H368)</f>
        <v>182.78</v>
      </c>
      <c r="I369" s="47">
        <f>SUM(I367:I368)</f>
        <v>1278.81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0</v>
      </c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515</v>
      </c>
      <c r="I396" s="18"/>
      <c r="J396" s="24" t="s">
        <v>289</v>
      </c>
      <c r="K396" s="24" t="s">
        <v>289</v>
      </c>
      <c r="L396" s="56">
        <f t="shared" si="26"/>
        <v>515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>
        <v>867</v>
      </c>
      <c r="I398" s="18"/>
      <c r="J398" s="24" t="s">
        <v>289</v>
      </c>
      <c r="K398" s="24" t="s">
        <v>289</v>
      </c>
      <c r="L398" s="56">
        <f t="shared" si="26"/>
        <v>867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0</v>
      </c>
      <c r="H399" s="18">
        <v>239</v>
      </c>
      <c r="I399" s="18"/>
      <c r="J399" s="24" t="s">
        <v>289</v>
      </c>
      <c r="K399" s="24" t="s">
        <v>289</v>
      </c>
      <c r="L399" s="56">
        <f t="shared" si="26"/>
        <v>239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0</v>
      </c>
      <c r="H400" s="18">
        <f>2454+624+204+1138+79</f>
        <v>4499</v>
      </c>
      <c r="I400" s="18"/>
      <c r="J400" s="24" t="s">
        <v>289</v>
      </c>
      <c r="K400" s="24" t="s">
        <v>289</v>
      </c>
      <c r="L400" s="56">
        <f t="shared" si="26"/>
        <v>4499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6120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6120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6120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6120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 t="s">
        <v>287</v>
      </c>
      <c r="H426" s="18"/>
      <c r="I426" s="18"/>
      <c r="J426" s="18">
        <f>15526+1500</f>
        <v>17026</v>
      </c>
      <c r="K426" s="18"/>
      <c r="L426" s="56">
        <f t="shared" si="29"/>
        <v>17026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17026</v>
      </c>
      <c r="K427" s="47">
        <f t="shared" si="30"/>
        <v>0</v>
      </c>
      <c r="L427" s="47">
        <f t="shared" si="30"/>
        <v>17026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17026</v>
      </c>
      <c r="K434" s="47">
        <f t="shared" si="32"/>
        <v>0</v>
      </c>
      <c r="L434" s="47">
        <f t="shared" si="32"/>
        <v>17026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517902.5</v>
      </c>
      <c r="H439" s="18"/>
      <c r="I439" s="56">
        <f t="shared" ref="I439:I445" si="33">SUM(F439:H439)</f>
        <v>517902.5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517902.5</v>
      </c>
      <c r="H446" s="13">
        <f>SUM(H439:H445)</f>
        <v>0</v>
      </c>
      <c r="I446" s="13">
        <f>SUM(I439:I445)</f>
        <v>517902.5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517902.5</v>
      </c>
      <c r="H459" s="18"/>
      <c r="I459" s="56">
        <f t="shared" si="34"/>
        <v>517902.5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517902.5</v>
      </c>
      <c r="H460" s="83">
        <f>SUM(H454:H459)</f>
        <v>0</v>
      </c>
      <c r="I460" s="83">
        <f>SUM(I454:I459)</f>
        <v>517902.5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517902.5</v>
      </c>
      <c r="H461" s="42">
        <f>H452+H460</f>
        <v>0</v>
      </c>
      <c r="I461" s="42">
        <f>I452+I460</f>
        <v>517902.5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593021.12-154.52</f>
        <v>592866.6</v>
      </c>
      <c r="G465" s="18">
        <v>9178.6299999999992</v>
      </c>
      <c r="H465" s="18">
        <v>0</v>
      </c>
      <c r="I465" s="18"/>
      <c r="J465" s="18">
        <v>528807.87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6159261.03+2973.64</f>
        <v>6162234.6699999999</v>
      </c>
      <c r="G468" s="18">
        <v>190348.11</v>
      </c>
      <c r="H468" s="18">
        <f>316734.95-2973.64</f>
        <v>313761.31</v>
      </c>
      <c r="I468" s="18"/>
      <c r="J468" s="18">
        <v>6120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f>163+154.52</f>
        <v>317.52</v>
      </c>
      <c r="G469" s="18">
        <v>2728.48</v>
      </c>
      <c r="H469" s="18"/>
      <c r="I469" s="18"/>
      <c r="J469" s="18">
        <v>0.63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6162552.1899999995</v>
      </c>
      <c r="G470" s="53">
        <f>SUM(G468:G469)</f>
        <v>193076.59</v>
      </c>
      <c r="H470" s="53">
        <f>SUM(H468:H469)</f>
        <v>313761.31</v>
      </c>
      <c r="I470" s="53">
        <f>SUM(I468:I469)</f>
        <v>0</v>
      </c>
      <c r="J470" s="53">
        <f>SUM(J468:J469)</f>
        <v>6120.63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6150318.43+2973.64</f>
        <v>6153292.0699999994</v>
      </c>
      <c r="G472" s="18">
        <v>185401.96</v>
      </c>
      <c r="H472" s="18">
        <f>316734.95-2973.64</f>
        <v>313761.31</v>
      </c>
      <c r="I472" s="18"/>
      <c r="J472" s="18">
        <v>17026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f>10452.71</f>
        <v>10452.709999999999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6163744.7799999993</v>
      </c>
      <c r="G474" s="53">
        <f>SUM(G472:G473)</f>
        <v>185401.96</v>
      </c>
      <c r="H474" s="53">
        <f>SUM(H472:H473)</f>
        <v>313761.31</v>
      </c>
      <c r="I474" s="53">
        <f>SUM(I472:I473)</f>
        <v>0</v>
      </c>
      <c r="J474" s="53">
        <f>SUM(J472:J473)</f>
        <v>17026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591674.00999999978</v>
      </c>
      <c r="G476" s="53">
        <f>(G465+G470)- G474</f>
        <v>16853.260000000009</v>
      </c>
      <c r="H476" s="53">
        <f>(H465+H470)- H474</f>
        <v>0</v>
      </c>
      <c r="I476" s="53">
        <f>(I465+I470)- I474</f>
        <v>0</v>
      </c>
      <c r="J476" s="53">
        <f>(J465+J470)- J474</f>
        <v>517902.5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916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917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5840000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4.37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780000</v>
      </c>
      <c r="G495" s="18"/>
      <c r="H495" s="18"/>
      <c r="I495" s="18"/>
      <c r="J495" s="18"/>
      <c r="K495" s="53">
        <f>SUM(F495:J495)</f>
        <v>780000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390000</v>
      </c>
      <c r="G497" s="18"/>
      <c r="H497" s="18"/>
      <c r="I497" s="18"/>
      <c r="J497" s="18"/>
      <c r="K497" s="53">
        <f t="shared" si="35"/>
        <v>390000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780000-390000</f>
        <v>390000</v>
      </c>
      <c r="G498" s="204"/>
      <c r="H498" s="204"/>
      <c r="I498" s="204"/>
      <c r="J498" s="204"/>
      <c r="K498" s="205">
        <f t="shared" si="35"/>
        <v>390000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36465-27300</f>
        <v>9165</v>
      </c>
      <c r="G499" s="18"/>
      <c r="H499" s="18"/>
      <c r="I499" s="18"/>
      <c r="J499" s="18"/>
      <c r="K499" s="53">
        <f t="shared" si="35"/>
        <v>9165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399165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399165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390000</v>
      </c>
      <c r="G501" s="204"/>
      <c r="H501" s="204"/>
      <c r="I501" s="204"/>
      <c r="J501" s="204"/>
      <c r="K501" s="205">
        <f t="shared" si="35"/>
        <v>390000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9165</v>
      </c>
      <c r="G502" s="18"/>
      <c r="H502" s="18"/>
      <c r="I502" s="18"/>
      <c r="J502" s="18"/>
      <c r="K502" s="53">
        <f t="shared" si="35"/>
        <v>9165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399165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399165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294006.1+33947.52</f>
        <v>327953.62</v>
      </c>
      <c r="G521" s="18">
        <f>90894.65+16126.19</f>
        <v>107020.84</v>
      </c>
      <c r="H521" s="18">
        <v>14136</v>
      </c>
      <c r="I521" s="18">
        <v>206.5</v>
      </c>
      <c r="J521" s="18">
        <f>1500+0</f>
        <v>1500</v>
      </c>
      <c r="K521" s="18"/>
      <c r="L521" s="88">
        <f>SUM(F521:K521)</f>
        <v>450816.95999999996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110996.82</v>
      </c>
      <c r="G523" s="18">
        <v>50407.69</v>
      </c>
      <c r="H523" s="18">
        <v>68603.839999999997</v>
      </c>
      <c r="I523" s="18">
        <v>295.61</v>
      </c>
      <c r="J523" s="18"/>
      <c r="K523" s="18"/>
      <c r="L523" s="88">
        <f>SUM(F523:K523)</f>
        <v>230303.96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438950.44</v>
      </c>
      <c r="G524" s="108">
        <f t="shared" ref="G524:L524" si="36">SUM(G521:G523)</f>
        <v>157428.53</v>
      </c>
      <c r="H524" s="108">
        <f t="shared" si="36"/>
        <v>82739.839999999997</v>
      </c>
      <c r="I524" s="108">
        <f t="shared" si="36"/>
        <v>502.11</v>
      </c>
      <c r="J524" s="108">
        <f t="shared" si="36"/>
        <v>1500</v>
      </c>
      <c r="K524" s="108">
        <f t="shared" si="36"/>
        <v>0</v>
      </c>
      <c r="L524" s="89">
        <f t="shared" si="36"/>
        <v>681120.91999999993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67055.64+8767.71</f>
        <v>75823.350000000006</v>
      </c>
      <c r="G526" s="18">
        <f>5183.59+670.75</f>
        <v>5854.34</v>
      </c>
      <c r="H526" s="18">
        <f>27104.17+207.1+11945</f>
        <v>39256.269999999997</v>
      </c>
      <c r="I526" s="18">
        <v>1894.12</v>
      </c>
      <c r="J526" s="18">
        <v>1389.96</v>
      </c>
      <c r="K526" s="18">
        <v>774.39</v>
      </c>
      <c r="L526" s="88">
        <f>SUM(F526:K526)</f>
        <v>124992.43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2828.31</v>
      </c>
      <c r="G528" s="18">
        <v>216.35</v>
      </c>
      <c r="H528" s="18">
        <f>1908.43+5119</f>
        <v>7027.43</v>
      </c>
      <c r="I528" s="18">
        <v>6.96</v>
      </c>
      <c r="J528" s="18"/>
      <c r="K528" s="18"/>
      <c r="L528" s="88">
        <f>SUM(F528:K528)</f>
        <v>10079.049999999999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78651.66</v>
      </c>
      <c r="G529" s="89">
        <f t="shared" ref="G529:L529" si="37">SUM(G526:G528)</f>
        <v>6070.6900000000005</v>
      </c>
      <c r="H529" s="89">
        <f t="shared" si="37"/>
        <v>46283.7</v>
      </c>
      <c r="I529" s="89">
        <f t="shared" si="37"/>
        <v>1901.08</v>
      </c>
      <c r="J529" s="89">
        <f t="shared" si="37"/>
        <v>1389.96</v>
      </c>
      <c r="K529" s="89">
        <f t="shared" si="37"/>
        <v>774.39</v>
      </c>
      <c r="L529" s="89">
        <f t="shared" si="37"/>
        <v>135071.47999999998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1530.5+17241</f>
        <v>18771.5</v>
      </c>
      <c r="I531" s="18"/>
      <c r="J531" s="18"/>
      <c r="K531" s="18"/>
      <c r="L531" s="88">
        <f>SUM(F531:K531)</f>
        <v>18771.5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7389</v>
      </c>
      <c r="I533" s="18"/>
      <c r="J533" s="18"/>
      <c r="K533" s="18"/>
      <c r="L533" s="88">
        <f>SUM(F533:K533)</f>
        <v>7389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26160.5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26160.5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8146.71</v>
      </c>
      <c r="G541" s="18">
        <v>620.92999999999995</v>
      </c>
      <c r="H541" s="18">
        <f>2236+1285.8</f>
        <v>3521.8</v>
      </c>
      <c r="I541" s="18">
        <v>3710.89</v>
      </c>
      <c r="J541" s="18"/>
      <c r="K541" s="18">
        <v>799.75</v>
      </c>
      <c r="L541" s="88">
        <f>SUM(F541:K541)</f>
        <v>16800.079999999998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8146.71</v>
      </c>
      <c r="G544" s="193">
        <f t="shared" ref="G544:L544" si="40">SUM(G541:G543)</f>
        <v>620.92999999999995</v>
      </c>
      <c r="H544" s="193">
        <f t="shared" si="40"/>
        <v>3521.8</v>
      </c>
      <c r="I544" s="193">
        <f t="shared" si="40"/>
        <v>3710.89</v>
      </c>
      <c r="J544" s="193">
        <f t="shared" si="40"/>
        <v>0</v>
      </c>
      <c r="K544" s="193">
        <f t="shared" si="40"/>
        <v>799.75</v>
      </c>
      <c r="L544" s="193">
        <f t="shared" si="40"/>
        <v>16800.079999999998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525748.80999999994</v>
      </c>
      <c r="G545" s="89">
        <f t="shared" ref="G545:L545" si="41">G524+G529+G534+G539+G544</f>
        <v>164120.15</v>
      </c>
      <c r="H545" s="89">
        <f t="shared" si="41"/>
        <v>158705.83999999997</v>
      </c>
      <c r="I545" s="89">
        <f t="shared" si="41"/>
        <v>6114.08</v>
      </c>
      <c r="J545" s="89">
        <f t="shared" si="41"/>
        <v>2889.96</v>
      </c>
      <c r="K545" s="89">
        <f t="shared" si="41"/>
        <v>1574.1399999999999</v>
      </c>
      <c r="L545" s="89">
        <f t="shared" si="41"/>
        <v>859152.97999999986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450816.95999999996</v>
      </c>
      <c r="G549" s="87">
        <f>L526</f>
        <v>124992.43</v>
      </c>
      <c r="H549" s="87">
        <f>L531</f>
        <v>18771.5</v>
      </c>
      <c r="I549" s="87">
        <f>L536</f>
        <v>0</v>
      </c>
      <c r="J549" s="87">
        <f>L541</f>
        <v>16800.079999999998</v>
      </c>
      <c r="K549" s="87">
        <f>SUM(F549:J549)</f>
        <v>611380.96999999986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230303.96</v>
      </c>
      <c r="G551" s="87">
        <f>L528</f>
        <v>10079.049999999999</v>
      </c>
      <c r="H551" s="87">
        <f>L533</f>
        <v>7389</v>
      </c>
      <c r="I551" s="87">
        <f>L538</f>
        <v>0</v>
      </c>
      <c r="J551" s="87">
        <f>L543</f>
        <v>0</v>
      </c>
      <c r="K551" s="87">
        <f>SUM(F551:J551)</f>
        <v>247772.00999999998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681120.91999999993</v>
      </c>
      <c r="G552" s="89">
        <f t="shared" si="42"/>
        <v>135071.47999999998</v>
      </c>
      <c r="H552" s="89">
        <f t="shared" si="42"/>
        <v>26160.5</v>
      </c>
      <c r="I552" s="89">
        <f t="shared" si="42"/>
        <v>0</v>
      </c>
      <c r="J552" s="89">
        <f t="shared" si="42"/>
        <v>16800.079999999998</v>
      </c>
      <c r="K552" s="89">
        <f t="shared" si="42"/>
        <v>859152.97999999986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13993</v>
      </c>
      <c r="G579" s="18"/>
      <c r="H579" s="18">
        <v>6966.9</v>
      </c>
      <c r="I579" s="87">
        <f t="shared" si="47"/>
        <v>20959.900000000001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84672.94</v>
      </c>
      <c r="I582" s="87">
        <f t="shared" si="47"/>
        <v>84672.94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116218.62</v>
      </c>
      <c r="I591" s="18"/>
      <c r="J591" s="18">
        <v>69610.880000000005</v>
      </c>
      <c r="K591" s="104">
        <f t="shared" ref="K591:K597" si="48">SUM(H591:J591)</f>
        <v>185829.5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16800.08</f>
        <v>16800.080000000002</v>
      </c>
      <c r="I592" s="18"/>
      <c r="J592" s="18"/>
      <c r="K592" s="104">
        <f t="shared" si="48"/>
        <v>16800.080000000002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1377.76</v>
      </c>
      <c r="K593" s="104">
        <f t="shared" si="48"/>
        <v>1377.76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4882.5</v>
      </c>
      <c r="I594" s="18"/>
      <c r="J594" s="18">
        <v>11359.5</v>
      </c>
      <c r="K594" s="104">
        <f t="shared" si="48"/>
        <v>16242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5212.6899999999996</v>
      </c>
      <c r="I595" s="18"/>
      <c r="J595" s="18">
        <v>5304.61</v>
      </c>
      <c r="K595" s="104">
        <f t="shared" si="48"/>
        <v>10517.3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143113.89000000001</v>
      </c>
      <c r="I598" s="108">
        <f>SUM(I591:I597)</f>
        <v>0</v>
      </c>
      <c r="J598" s="108">
        <f>SUM(J591:J597)</f>
        <v>87652.75</v>
      </c>
      <c r="K598" s="108">
        <f>SUM(K591:K597)</f>
        <v>230766.64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57693.36</v>
      </c>
      <c r="I604" s="18"/>
      <c r="J604" s="18">
        <v>39636.75</v>
      </c>
      <c r="K604" s="104">
        <f>SUM(H604:J604)</f>
        <v>97330.11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57693.36</v>
      </c>
      <c r="I605" s="108">
        <f>SUM(I602:I604)</f>
        <v>0</v>
      </c>
      <c r="J605" s="108">
        <f>SUM(J602:J604)</f>
        <v>39636.75</v>
      </c>
      <c r="K605" s="108">
        <f>SUM(K602:K604)</f>
        <v>97330.11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1260+970.14+2875</f>
        <v>5105.1399999999994</v>
      </c>
      <c r="G611" s="18">
        <f>96.39+3.52+294.16+447</f>
        <v>841.07</v>
      </c>
      <c r="H611" s="18"/>
      <c r="I611" s="18"/>
      <c r="J611" s="18"/>
      <c r="K611" s="18"/>
      <c r="L611" s="88">
        <f>SUM(F611:K611)</f>
        <v>5946.2099999999991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1224</v>
      </c>
      <c r="G613" s="18">
        <v>93.64</v>
      </c>
      <c r="H613" s="18"/>
      <c r="I613" s="18"/>
      <c r="J613" s="18"/>
      <c r="K613" s="18"/>
      <c r="L613" s="88">
        <f>SUM(F613:K613)</f>
        <v>1317.64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6329.1399999999994</v>
      </c>
      <c r="G614" s="108">
        <f t="shared" si="49"/>
        <v>934.71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7263.8499999999995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695968.52999999991</v>
      </c>
      <c r="H617" s="109">
        <f>SUM(F52)</f>
        <v>695968.53000000073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25378.03</v>
      </c>
      <c r="H618" s="109">
        <f>SUM(G52)</f>
        <v>25378.030000000002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86977.75</v>
      </c>
      <c r="H619" s="109">
        <f>SUM(H52)</f>
        <v>86977.75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517902.5</v>
      </c>
      <c r="H621" s="109">
        <f>SUM(J52)</f>
        <v>517902.5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591674.01000000071</v>
      </c>
      <c r="H622" s="109">
        <f>F476</f>
        <v>591674.00999999978</v>
      </c>
      <c r="I622" s="121" t="s">
        <v>101</v>
      </c>
      <c r="J622" s="109">
        <f t="shared" ref="J622:J655" si="50">G622-H622</f>
        <v>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16853.260000000002</v>
      </c>
      <c r="H623" s="109">
        <f>G476</f>
        <v>16853.260000000009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517902.5</v>
      </c>
      <c r="H626" s="109">
        <f>J476</f>
        <v>517902.5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6162234.6700000009</v>
      </c>
      <c r="H627" s="104">
        <f>SUM(F468)</f>
        <v>6162234.6699999999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190348.11</v>
      </c>
      <c r="H628" s="104">
        <f>SUM(G468)</f>
        <v>190348.11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313761.31</v>
      </c>
      <c r="H629" s="104">
        <f>SUM(H468)</f>
        <v>313761.31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6120</v>
      </c>
      <c r="H631" s="104">
        <f>SUM(J468)</f>
        <v>6120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6153292.0699999994</v>
      </c>
      <c r="H632" s="104">
        <f>SUM(F472)</f>
        <v>6153292.0699999994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313761.31</v>
      </c>
      <c r="H633" s="104">
        <f>SUM(H472)</f>
        <v>313761.31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1278.81</v>
      </c>
      <c r="H634" s="104">
        <f>I369</f>
        <v>1278.81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185401.96</v>
      </c>
      <c r="H635" s="104">
        <f>SUM(G472)</f>
        <v>185401.96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6120</v>
      </c>
      <c r="H637" s="164">
        <f>SUM(J468)</f>
        <v>6120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17026</v>
      </c>
      <c r="H638" s="164">
        <f>SUM(J472)</f>
        <v>17026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517902.5</v>
      </c>
      <c r="H640" s="104">
        <f>SUM(G461)</f>
        <v>517902.5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517902.5</v>
      </c>
      <c r="H642" s="104">
        <f>SUM(I461)</f>
        <v>517902.5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6120</v>
      </c>
      <c r="H644" s="104">
        <f>H408</f>
        <v>6120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6120</v>
      </c>
      <c r="H646" s="104">
        <f>L408</f>
        <v>6120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230766.64</v>
      </c>
      <c r="H647" s="104">
        <f>L208+L226+L244</f>
        <v>230766.64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97330.11</v>
      </c>
      <c r="H648" s="104">
        <f>(J257+J338)-(J255+J336)</f>
        <v>97330.11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143113.89000000001</v>
      </c>
      <c r="H649" s="104">
        <f>H598</f>
        <v>143113.89000000001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87652.75</v>
      </c>
      <c r="H651" s="104">
        <f>J598</f>
        <v>87652.75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23000</v>
      </c>
      <c r="H652" s="104">
        <f>K263+K345</f>
        <v>23000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3716783.3599999994</v>
      </c>
      <c r="G660" s="19">
        <f>(L229+L309+L359)</f>
        <v>0</v>
      </c>
      <c r="H660" s="19">
        <f>(L247+L328+L360)</f>
        <v>2462335.98</v>
      </c>
      <c r="I660" s="19">
        <f>SUM(F660:H660)</f>
        <v>6179119.3399999999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53216.543533270094</v>
      </c>
      <c r="G661" s="19">
        <f>(L359/IF(SUM(L358:L360)=0,1,SUM(L358:L360))*(SUM(G97:G110)))</f>
        <v>0</v>
      </c>
      <c r="H661" s="19">
        <f>(L360/IF(SUM(L358:L360)=0,1,SUM(L358:L360))*(SUM(G97:G110)))</f>
        <v>24661.066466729913</v>
      </c>
      <c r="I661" s="19">
        <f>SUM(F661:H661)</f>
        <v>77877.610000000015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143113.89000000001</v>
      </c>
      <c r="G662" s="19">
        <f>(L226+L306)-(J226+J306)</f>
        <v>0</v>
      </c>
      <c r="H662" s="19">
        <f>(L244+L325)-(J244+J325)</f>
        <v>88082.75</v>
      </c>
      <c r="I662" s="19">
        <f>SUM(F662:H662)</f>
        <v>231196.64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77632.570000000007</v>
      </c>
      <c r="G663" s="199">
        <f>SUM(G575:G587)+SUM(I602:I604)+L612</f>
        <v>0</v>
      </c>
      <c r="H663" s="199">
        <f>SUM(H575:H587)+SUM(J602:J604)+L613</f>
        <v>132594.23000000001</v>
      </c>
      <c r="I663" s="19">
        <f>SUM(F663:H663)</f>
        <v>210226.80000000002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3442820.3564667292</v>
      </c>
      <c r="G664" s="19">
        <f>G660-SUM(G661:G663)</f>
        <v>0</v>
      </c>
      <c r="H664" s="19">
        <f>H660-SUM(H661:H663)</f>
        <v>2216997.9335332699</v>
      </c>
      <c r="I664" s="19">
        <f>I660-SUM(I661:I663)</f>
        <v>5659818.29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234.54</v>
      </c>
      <c r="G665" s="248"/>
      <c r="H665" s="248">
        <v>111.64</v>
      </c>
      <c r="I665" s="19">
        <f>SUM(F665:H665)</f>
        <v>346.18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14679.03</v>
      </c>
      <c r="G667" s="19" t="e">
        <f>ROUND(G664/G665,2)</f>
        <v>#DIV/0!</v>
      </c>
      <c r="H667" s="19">
        <f>ROUND(H664/H665,2)</f>
        <v>19858.46</v>
      </c>
      <c r="I667" s="19">
        <f>ROUND(I664/I665,2)</f>
        <v>16349.35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14679.03</v>
      </c>
      <c r="G672" s="19" t="e">
        <f>ROUND((G664+G669)/(G665+G670),2)</f>
        <v>#DIV/0!</v>
      </c>
      <c r="H672" s="19">
        <f>ROUND((H664+H669)/(H665+H670),2)</f>
        <v>19858.46</v>
      </c>
      <c r="I672" s="19">
        <f>ROUND((I664+I669)/(I665+I670),2)</f>
        <v>16349.35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20" zoomScaleNormal="120" workbookViewId="0">
      <selection activeCell="C42" sqref="C4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Colebrook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1634180.74</v>
      </c>
      <c r="C9" s="229">
        <f>'DOE25'!G197+'DOE25'!G215+'DOE25'!G233+'DOE25'!G276+'DOE25'!G295+'DOE25'!G314</f>
        <v>916779.45</v>
      </c>
    </row>
    <row r="10" spans="1:3" x14ac:dyDescent="0.2">
      <c r="A10" t="s">
        <v>779</v>
      </c>
      <c r="B10" s="240">
        <f>1466394.86+22296</f>
        <v>1488690.86</v>
      </c>
      <c r="C10" s="240">
        <f>430430.23+26600.4+2436+240443.49+12597.3+78207.3+114934.73</f>
        <v>905649.45000000007</v>
      </c>
    </row>
    <row r="11" spans="1:3" x14ac:dyDescent="0.2">
      <c r="A11" t="s">
        <v>780</v>
      </c>
      <c r="B11" s="240">
        <f>103675+18479.38</f>
        <v>122154.38</v>
      </c>
      <c r="C11" s="240">
        <v>9344.81</v>
      </c>
    </row>
    <row r="12" spans="1:3" x14ac:dyDescent="0.2">
      <c r="A12" t="s">
        <v>781</v>
      </c>
      <c r="B12" s="240">
        <f>22976.66+358.84</f>
        <v>23335.5</v>
      </c>
      <c r="C12" s="240">
        <v>1785.19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1634180.7400000002</v>
      </c>
      <c r="C13" s="231">
        <f>SUM(C10:C12)</f>
        <v>916779.45000000007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438950.44</v>
      </c>
      <c r="C18" s="229">
        <f>'DOE25'!G198+'DOE25'!G216+'DOE25'!G234+'DOE25'!G277+'DOE25'!G296+'DOE25'!G315</f>
        <v>157428.53</v>
      </c>
    </row>
    <row r="19" spans="1:3" x14ac:dyDescent="0.2">
      <c r="A19" t="s">
        <v>779</v>
      </c>
      <c r="B19" s="240">
        <f>180598.59+13098.96</f>
        <v>193697.55</v>
      </c>
      <c r="C19" s="240">
        <f>80877.78+10260.12+360+29285.08+3266.98+14817.86-201.14</f>
        <v>138666.68</v>
      </c>
    </row>
    <row r="20" spans="1:3" x14ac:dyDescent="0.2">
      <c r="A20" t="s">
        <v>780</v>
      </c>
      <c r="B20" s="240">
        <f>206038.47+20848.56</f>
        <v>226887.03</v>
      </c>
      <c r="C20" s="240">
        <v>17356.86</v>
      </c>
    </row>
    <row r="21" spans="1:3" x14ac:dyDescent="0.2">
      <c r="A21" t="s">
        <v>781</v>
      </c>
      <c r="B21" s="240">
        <f>13964.01+4401.85</f>
        <v>18365.86</v>
      </c>
      <c r="C21" s="240">
        <v>1404.99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438950.43999999994</v>
      </c>
      <c r="C22" s="231">
        <f>SUM(C19:C21)</f>
        <v>157428.52999999997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93113.14</v>
      </c>
      <c r="C36" s="235">
        <f>'DOE25'!G200+'DOE25'!G218+'DOE25'!G236+'DOE25'!G279+'DOE25'!G298+'DOE25'!G317</f>
        <v>13330.509999999998</v>
      </c>
    </row>
    <row r="37" spans="1:3" x14ac:dyDescent="0.2">
      <c r="A37" t="s">
        <v>779</v>
      </c>
      <c r="B37" s="240">
        <f>4032+22880</f>
        <v>26912</v>
      </c>
      <c r="C37" s="240">
        <f>294.52+1663.33+631.82+3512.59</f>
        <v>6102.26</v>
      </c>
    </row>
    <row r="38" spans="1:3" x14ac:dyDescent="0.2">
      <c r="A38" t="s">
        <v>780</v>
      </c>
      <c r="B38" s="240">
        <f>1260+1224</f>
        <v>2484</v>
      </c>
      <c r="C38" s="240">
        <f>96.39+93.64</f>
        <v>190.03</v>
      </c>
    </row>
    <row r="39" spans="1:3" x14ac:dyDescent="0.2">
      <c r="A39" t="s">
        <v>781</v>
      </c>
      <c r="B39" s="240">
        <f>84494+970.14+2875+4774-26912-2484</f>
        <v>63717.14</v>
      </c>
      <c r="C39" s="240">
        <f>6714.88+294.16+5874.47-6102.26-190.03-530+977</f>
        <v>7038.22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93113.14</v>
      </c>
      <c r="C40" s="231">
        <f>SUM(C37:C39)</f>
        <v>13330.51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15" sqref="F1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Colebrook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3267973.45</v>
      </c>
      <c r="D5" s="20">
        <f>SUM('DOE25'!L197:L200)+SUM('DOE25'!L215:L218)+SUM('DOE25'!L233:L236)-F5-G5</f>
        <v>3229203.9200000004</v>
      </c>
      <c r="E5" s="243"/>
      <c r="F5" s="255">
        <f>SUM('DOE25'!J197:J200)+SUM('DOE25'!J215:J218)+SUM('DOE25'!J233:J236)</f>
        <v>28233.84</v>
      </c>
      <c r="G5" s="53">
        <f>SUM('DOE25'!K197:K200)+SUM('DOE25'!K215:K218)+SUM('DOE25'!K233:K236)</f>
        <v>10535.689999999999</v>
      </c>
      <c r="H5" s="259"/>
    </row>
    <row r="6" spans="1:9" x14ac:dyDescent="0.2">
      <c r="A6" s="32">
        <v>2100</v>
      </c>
      <c r="B6" t="s">
        <v>801</v>
      </c>
      <c r="C6" s="245">
        <f t="shared" si="0"/>
        <v>634062.24</v>
      </c>
      <c r="D6" s="20">
        <f>'DOE25'!L202+'DOE25'!L220+'DOE25'!L238-F6-G6</f>
        <v>591888.76</v>
      </c>
      <c r="E6" s="243"/>
      <c r="F6" s="255">
        <f>'DOE25'!J202+'DOE25'!J220+'DOE25'!J238</f>
        <v>30091.649999999998</v>
      </c>
      <c r="G6" s="53">
        <f>'DOE25'!K202+'DOE25'!K220+'DOE25'!K238</f>
        <v>12081.83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138861.78999999998</v>
      </c>
      <c r="D7" s="20">
        <f>'DOE25'!L203+'DOE25'!L221+'DOE25'!L239-F7-G7</f>
        <v>121097.78999999998</v>
      </c>
      <c r="E7" s="243"/>
      <c r="F7" s="255">
        <f>'DOE25'!J203+'DOE25'!J221+'DOE25'!J239</f>
        <v>700</v>
      </c>
      <c r="G7" s="53">
        <f>'DOE25'!K203+'DOE25'!K221+'DOE25'!K239</f>
        <v>17064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216024.38</v>
      </c>
      <c r="D8" s="243"/>
      <c r="E8" s="20">
        <f>'DOE25'!L204+'DOE25'!L222+'DOE25'!L240-F8-G8-D9-D11</f>
        <v>212025.02000000002</v>
      </c>
      <c r="F8" s="255">
        <f>'DOE25'!J204+'DOE25'!J222+'DOE25'!J240</f>
        <v>0</v>
      </c>
      <c r="G8" s="53">
        <f>'DOE25'!K204+'DOE25'!K222+'DOE25'!K240</f>
        <v>3999.3599999999997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45344.79</v>
      </c>
      <c r="D9" s="244">
        <v>45344.79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10896.7</v>
      </c>
      <c r="D10" s="243"/>
      <c r="E10" s="244">
        <v>10896.7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124252.43</v>
      </c>
      <c r="D11" s="244">
        <v>124252.43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401051.56000000006</v>
      </c>
      <c r="D12" s="20">
        <f>'DOE25'!L205+'DOE25'!L223+'DOE25'!L241-F12-G12</f>
        <v>398752.57000000007</v>
      </c>
      <c r="E12" s="243"/>
      <c r="F12" s="255">
        <f>'DOE25'!J205+'DOE25'!J223+'DOE25'!J241</f>
        <v>189.99</v>
      </c>
      <c r="G12" s="53">
        <f>'DOE25'!K205+'DOE25'!K223+'DOE25'!K241</f>
        <v>2109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621618.79</v>
      </c>
      <c r="D14" s="20">
        <f>'DOE25'!L207+'DOE25'!L225+'DOE25'!L243-F14-G14</f>
        <v>604972.02</v>
      </c>
      <c r="E14" s="243"/>
      <c r="F14" s="255">
        <f>'DOE25'!J207+'DOE25'!J225+'DOE25'!J243</f>
        <v>16263.72</v>
      </c>
      <c r="G14" s="53">
        <f>'DOE25'!K207+'DOE25'!K225+'DOE25'!K243</f>
        <v>383.05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230766.64</v>
      </c>
      <c r="D15" s="20">
        <f>'DOE25'!L208+'DOE25'!L226+'DOE25'!L244-F15-G15</f>
        <v>229655.58000000002</v>
      </c>
      <c r="E15" s="243"/>
      <c r="F15" s="255">
        <f>'DOE25'!J208+'DOE25'!J226+'DOE25'!J244</f>
        <v>0</v>
      </c>
      <c r="G15" s="53">
        <f>'DOE25'!K208+'DOE25'!K226+'DOE25'!K244</f>
        <v>1111.06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10000</v>
      </c>
      <c r="D22" s="243"/>
      <c r="E22" s="243"/>
      <c r="F22" s="255">
        <f>'DOE25'!L255+'DOE25'!L336</f>
        <v>10000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417300</v>
      </c>
      <c r="D25" s="243"/>
      <c r="E25" s="243"/>
      <c r="F25" s="258"/>
      <c r="G25" s="256"/>
      <c r="H25" s="257">
        <f>'DOE25'!L260+'DOE25'!L261+'DOE25'!L341+'DOE25'!L342</f>
        <v>417300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185401.96</v>
      </c>
      <c r="D29" s="20">
        <f>'DOE25'!L358+'DOE25'!L359+'DOE25'!L360-'DOE25'!I367-F29-G29</f>
        <v>185401.96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313761.31</v>
      </c>
      <c r="D31" s="20">
        <f>'DOE25'!L290+'DOE25'!L309+'DOE25'!L328+'DOE25'!L333+'DOE25'!L334+'DOE25'!L335-F31-G31</f>
        <v>270963.88</v>
      </c>
      <c r="E31" s="243"/>
      <c r="F31" s="255">
        <f>'DOE25'!J290+'DOE25'!J309+'DOE25'!J328+'DOE25'!J333+'DOE25'!J334+'DOE25'!J335</f>
        <v>21850.91</v>
      </c>
      <c r="G31" s="53">
        <f>'DOE25'!K290+'DOE25'!K309+'DOE25'!K328+'DOE25'!K333+'DOE25'!K334+'DOE25'!K335</f>
        <v>20946.52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5801533.7000000011</v>
      </c>
      <c r="E33" s="246">
        <f>SUM(E5:E31)</f>
        <v>222921.72000000003</v>
      </c>
      <c r="F33" s="246">
        <f>SUM(F5:F31)</f>
        <v>107330.11</v>
      </c>
      <c r="G33" s="246">
        <f>SUM(G5:G31)</f>
        <v>68230.509999999995</v>
      </c>
      <c r="H33" s="246">
        <f>SUM(H5:H31)</f>
        <v>417300</v>
      </c>
    </row>
    <row r="35" spans="2:8" ht="12" thickBot="1" x14ac:dyDescent="0.25">
      <c r="B35" s="253" t="s">
        <v>847</v>
      </c>
      <c r="D35" s="254">
        <f>E33</f>
        <v>222921.72000000003</v>
      </c>
      <c r="E35" s="249"/>
    </row>
    <row r="36" spans="2:8" ht="12" thickTop="1" x14ac:dyDescent="0.2">
      <c r="B36" t="s">
        <v>815</v>
      </c>
      <c r="D36" s="20">
        <f>D33</f>
        <v>5801533.7000000011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Colebrook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548808.86</v>
      </c>
      <c r="D8" s="95">
        <f>'DOE25'!G9</f>
        <v>17641.5</v>
      </c>
      <c r="E8" s="95">
        <f>'DOE25'!H9</f>
        <v>0</v>
      </c>
      <c r="F8" s="95">
        <f>'DOE25'!I9</f>
        <v>0</v>
      </c>
      <c r="G8" s="95">
        <f>'DOE25'!J9</f>
        <v>517902.5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68229.08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76076.179999999993</v>
      </c>
      <c r="D12" s="95">
        <f>'DOE25'!G13</f>
        <v>1865.92</v>
      </c>
      <c r="E12" s="95">
        <f>'DOE25'!H13</f>
        <v>86977.75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2854.41</v>
      </c>
      <c r="D13" s="95">
        <f>'DOE25'!G14</f>
        <v>37.6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5833.01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695968.52999999991</v>
      </c>
      <c r="D18" s="41">
        <f>SUM(D8:D17)</f>
        <v>25378.03</v>
      </c>
      <c r="E18" s="41">
        <f>SUM(E8:E17)</f>
        <v>86977.75</v>
      </c>
      <c r="F18" s="41">
        <f>SUM(F8:F17)</f>
        <v>0</v>
      </c>
      <c r="G18" s="41">
        <f>SUM(G8:G17)</f>
        <v>517902.5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68229.08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26293.66</v>
      </c>
      <c r="D23" s="95">
        <f>'DOE25'!G24</f>
        <v>8524.77</v>
      </c>
      <c r="E23" s="95">
        <f>'DOE25'!H24</f>
        <v>12094.92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30979.56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15941.48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31079.82</v>
      </c>
      <c r="D29" s="95">
        <f>'DOE25'!G30</f>
        <v>0</v>
      </c>
      <c r="E29" s="95">
        <f>'DOE25'!H30</f>
        <v>6653.75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104294.51999999999</v>
      </c>
      <c r="D31" s="41">
        <f>SUM(D21:D30)</f>
        <v>8524.77</v>
      </c>
      <c r="E31" s="41">
        <f>SUM(E21:E30)</f>
        <v>86977.75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5833.01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11020.25</v>
      </c>
      <c r="E47" s="95">
        <f>'DOE25'!H48</f>
        <v>0</v>
      </c>
      <c r="F47" s="95">
        <f>'DOE25'!I48</f>
        <v>0</v>
      </c>
      <c r="G47" s="95">
        <f>'DOE25'!J48</f>
        <v>517902.5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591674.01000000071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591674.01000000071</v>
      </c>
      <c r="D50" s="41">
        <f>SUM(D34:D49)</f>
        <v>16853.260000000002</v>
      </c>
      <c r="E50" s="41">
        <f>SUM(E34:E49)</f>
        <v>0</v>
      </c>
      <c r="F50" s="41">
        <f>SUM(F34:F49)</f>
        <v>0</v>
      </c>
      <c r="G50" s="41">
        <f>SUM(G34:G49)</f>
        <v>517902.5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695968.53000000073</v>
      </c>
      <c r="D51" s="41">
        <f>D50+D31</f>
        <v>25378.030000000002</v>
      </c>
      <c r="E51" s="41">
        <f>E50+E31</f>
        <v>86977.75</v>
      </c>
      <c r="F51" s="41">
        <f>F50+F31</f>
        <v>0</v>
      </c>
      <c r="G51" s="41">
        <f>G50+G31</f>
        <v>517902.5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2015982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1430352.45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57.16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6120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77821.66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246303.15</v>
      </c>
      <c r="D61" s="95">
        <f>SUM('DOE25'!G98:G110)</f>
        <v>55.95</v>
      </c>
      <c r="E61" s="95">
        <f>SUM('DOE25'!H98:H110)</f>
        <v>8728.14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1676712.7599999998</v>
      </c>
      <c r="D62" s="130">
        <f>SUM(D57:D61)</f>
        <v>77877.61</v>
      </c>
      <c r="E62" s="130">
        <f>SUM(E57:E61)</f>
        <v>8728.14</v>
      </c>
      <c r="F62" s="130">
        <f>SUM(F57:F61)</f>
        <v>0</v>
      </c>
      <c r="G62" s="130">
        <f>SUM(G57:G61)</f>
        <v>6120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3692694.76</v>
      </c>
      <c r="D63" s="22">
        <f>D56+D62</f>
        <v>77877.61</v>
      </c>
      <c r="E63" s="22">
        <f>E56+E62</f>
        <v>8728.14</v>
      </c>
      <c r="F63" s="22">
        <f>F56+F62</f>
        <v>0</v>
      </c>
      <c r="G63" s="22">
        <f>G56+G62</f>
        <v>6120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1889254.73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392867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2282121.73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158313.70000000001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2793.98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158313.70000000001</v>
      </c>
      <c r="D78" s="130">
        <f>SUM(D72:D77)</f>
        <v>2793.98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2440435.4300000002</v>
      </c>
      <c r="D81" s="130">
        <f>SUM(D79:D80)+D78+D70</f>
        <v>2793.98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918.85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10604.59</v>
      </c>
      <c r="D88" s="95">
        <f>SUM('DOE25'!G153:G161)</f>
        <v>86676.52</v>
      </c>
      <c r="E88" s="95">
        <f>SUM('DOE25'!H153:H161)</f>
        <v>304114.32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2973.64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13578.23</v>
      </c>
      <c r="D91" s="131">
        <f>SUM(D85:D90)</f>
        <v>86676.52</v>
      </c>
      <c r="E91" s="131">
        <f>SUM(E85:E90)</f>
        <v>305033.17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15526.25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15526.25</v>
      </c>
      <c r="D103" s="86">
        <f>SUM(D93:D102)</f>
        <v>23000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6162234.6699999999</v>
      </c>
      <c r="D104" s="86">
        <f>D63+D81+D91+D103</f>
        <v>190348.11</v>
      </c>
      <c r="E104" s="86">
        <f>E63+E81+E91+E103</f>
        <v>313761.31</v>
      </c>
      <c r="F104" s="86">
        <f>F63+F81+F91+F103</f>
        <v>0</v>
      </c>
      <c r="G104" s="86">
        <f>G63+G81+G103</f>
        <v>6120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2509036.67</v>
      </c>
      <c r="D109" s="24" t="s">
        <v>289</v>
      </c>
      <c r="E109" s="95">
        <f>('DOE25'!L276)+('DOE25'!L295)+('DOE25'!L314)</f>
        <v>201098.92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629783.6</v>
      </c>
      <c r="D110" s="24" t="s">
        <v>289</v>
      </c>
      <c r="E110" s="95">
        <f>('DOE25'!L277)+('DOE25'!L296)+('DOE25'!L315)</f>
        <v>51573.71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129153.18000000001</v>
      </c>
      <c r="D112" s="24" t="s">
        <v>289</v>
      </c>
      <c r="E112" s="95">
        <f>+('DOE25'!L279)+('DOE25'!L298)+('DOE25'!L317)</f>
        <v>4586.3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3267973.45</v>
      </c>
      <c r="D115" s="86">
        <f>SUM(D109:D114)</f>
        <v>0</v>
      </c>
      <c r="E115" s="86">
        <f>SUM(E109:E114)</f>
        <v>257258.93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634062.24</v>
      </c>
      <c r="D118" s="24" t="s">
        <v>289</v>
      </c>
      <c r="E118" s="95">
        <f>+('DOE25'!L281)+('DOE25'!L300)+('DOE25'!L319)</f>
        <v>23132.98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138861.78999999998</v>
      </c>
      <c r="D119" s="24" t="s">
        <v>289</v>
      </c>
      <c r="E119" s="95">
        <f>+('DOE25'!L282)+('DOE25'!L301)+('DOE25'!L320)</f>
        <v>26363.22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385621.6</v>
      </c>
      <c r="D120" s="24" t="s">
        <v>289</v>
      </c>
      <c r="E120" s="95">
        <f>+('DOE25'!L283)+('DOE25'!L302)+('DOE25'!L321)</f>
        <v>6576.18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401051.56000000006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621618.79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230766.64</v>
      </c>
      <c r="D124" s="24" t="s">
        <v>289</v>
      </c>
      <c r="E124" s="95">
        <f>+('DOE25'!L287)+('DOE25'!L306)+('DOE25'!L325)</f>
        <v>430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185401.96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2411982.62</v>
      </c>
      <c r="D128" s="86">
        <f>SUM(D118:D127)</f>
        <v>185401.96</v>
      </c>
      <c r="E128" s="86">
        <f>SUM(E118:E127)</f>
        <v>56502.38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10000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390000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27300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6120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-6120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23036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473336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6153292.0700000003</v>
      </c>
      <c r="D145" s="86">
        <f>(D115+D128+D144)</f>
        <v>185401.96</v>
      </c>
      <c r="E145" s="86">
        <f>(E115+E128+E144)</f>
        <v>313761.31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06/2001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07/2016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5840000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4.37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390000</v>
      </c>
    </row>
    <row r="159" spans="1:9" x14ac:dyDescent="0.2">
      <c r="A159" s="22" t="s">
        <v>35</v>
      </c>
      <c r="B159" s="137">
        <f>'DOE25'!F498</f>
        <v>390000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390000</v>
      </c>
    </row>
    <row r="160" spans="1:9" x14ac:dyDescent="0.2">
      <c r="A160" s="22" t="s">
        <v>36</v>
      </c>
      <c r="B160" s="137">
        <f>'DOE25'!F499</f>
        <v>9165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9165</v>
      </c>
    </row>
    <row r="161" spans="1:7" x14ac:dyDescent="0.2">
      <c r="A161" s="22" t="s">
        <v>37</v>
      </c>
      <c r="B161" s="137">
        <f>'DOE25'!F500</f>
        <v>399165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399165</v>
      </c>
    </row>
    <row r="162" spans="1:7" x14ac:dyDescent="0.2">
      <c r="A162" s="22" t="s">
        <v>38</v>
      </c>
      <c r="B162" s="137">
        <f>'DOE25'!F501</f>
        <v>390000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390000</v>
      </c>
    </row>
    <row r="163" spans="1:7" x14ac:dyDescent="0.2">
      <c r="A163" s="22" t="s">
        <v>39</v>
      </c>
      <c r="B163" s="137">
        <f>'DOE25'!F502</f>
        <v>9165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9165</v>
      </c>
    </row>
    <row r="164" spans="1:7" x14ac:dyDescent="0.2">
      <c r="A164" s="22" t="s">
        <v>246</v>
      </c>
      <c r="B164" s="137">
        <f>'DOE25'!F503</f>
        <v>399165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399165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Colebrook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14679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19858</v>
      </c>
    </row>
    <row r="7" spans="1:4" x14ac:dyDescent="0.2">
      <c r="B7" t="s">
        <v>705</v>
      </c>
      <c r="C7" s="179">
        <f>IF('DOE25'!I665+'DOE25'!I670=0,0,ROUND('DOE25'!I672,0))</f>
        <v>16349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2710136</v>
      </c>
      <c r="D10" s="182">
        <f>ROUND((C10/$C$28)*100,1)</f>
        <v>44.1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681357</v>
      </c>
      <c r="D11" s="182">
        <f>ROUND((C11/$C$28)*100,1)</f>
        <v>11.1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133739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657195</v>
      </c>
      <c r="D15" s="182">
        <f t="shared" ref="D15:D27" si="0">ROUND((C15/$C$28)*100,1)</f>
        <v>10.7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165225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392198</v>
      </c>
      <c r="D17" s="182">
        <f t="shared" si="0"/>
        <v>6.4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401052</v>
      </c>
      <c r="D18" s="182">
        <f t="shared" si="0"/>
        <v>6.5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621619</v>
      </c>
      <c r="D20" s="182">
        <f t="shared" si="0"/>
        <v>10.1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231197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27300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23036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107524.39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6151578.3899999997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10000</v>
      </c>
    </row>
    <row r="30" spans="1:4" x14ac:dyDescent="0.2">
      <c r="B30" s="187" t="s">
        <v>729</v>
      </c>
      <c r="C30" s="180">
        <f>SUM(C28:C29)</f>
        <v>6161578.3899999997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390000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2015982</v>
      </c>
      <c r="D35" s="182">
        <f t="shared" ref="D35:D40" si="1">ROUND((C35/$C$41)*100,1)</f>
        <v>30.7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1691560.9000000004</v>
      </c>
      <c r="D36" s="182">
        <f t="shared" si="1"/>
        <v>25.8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2282122</v>
      </c>
      <c r="D37" s="182">
        <f t="shared" si="1"/>
        <v>34.799999999999997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161108</v>
      </c>
      <c r="D38" s="182">
        <f t="shared" si="1"/>
        <v>2.5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405288</v>
      </c>
      <c r="D39" s="182">
        <f t="shared" si="1"/>
        <v>6.2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6556060.9000000004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6" sqref="A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Colebrook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 t="s">
        <v>913</v>
      </c>
      <c r="B4" s="219"/>
      <c r="C4" s="286" t="s">
        <v>914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11</v>
      </c>
      <c r="B5" s="219"/>
      <c r="C5" s="286" t="s">
        <v>915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2016-09-11T13:50:32Z</cp:lastPrinted>
  <dcterms:created xsi:type="dcterms:W3CDTF">1997-12-04T19:04:30Z</dcterms:created>
  <dcterms:modified xsi:type="dcterms:W3CDTF">2016-09-29T11:51:21Z</dcterms:modified>
</cp:coreProperties>
</file>