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2" i="1" l="1"/>
  <c r="F499" i="1"/>
  <c r="F562" i="1"/>
  <c r="J564" i="1"/>
  <c r="I564" i="1"/>
  <c r="H564" i="1"/>
  <c r="G564" i="1"/>
  <c r="F564" i="1"/>
  <c r="I563" i="1"/>
  <c r="H563" i="1"/>
  <c r="G563" i="1"/>
  <c r="F563" i="1"/>
  <c r="I562" i="1"/>
  <c r="H562" i="1"/>
  <c r="G562" i="1"/>
  <c r="H198" i="1" l="1"/>
  <c r="F101" i="1"/>
  <c r="D11" i="13" l="1"/>
  <c r="C39" i="12"/>
  <c r="C38" i="12"/>
  <c r="C37" i="12"/>
  <c r="C30" i="12"/>
  <c r="C29" i="12"/>
  <c r="C28" i="12"/>
  <c r="C21" i="12"/>
  <c r="C20" i="12"/>
  <c r="C19" i="12"/>
  <c r="C12" i="12"/>
  <c r="C11" i="12"/>
  <c r="C10" i="12"/>
  <c r="B39" i="12" l="1"/>
  <c r="B30" i="12"/>
  <c r="B21" i="12"/>
  <c r="B12" i="12"/>
  <c r="J591" i="1" l="1"/>
  <c r="K244" i="1"/>
  <c r="H368" i="1" l="1"/>
  <c r="G368" i="1"/>
  <c r="F368" i="1"/>
  <c r="H367" i="1"/>
  <c r="G367" i="1"/>
  <c r="F367" i="1"/>
  <c r="K360" i="1"/>
  <c r="I360" i="1"/>
  <c r="H360" i="1"/>
  <c r="G360" i="1"/>
  <c r="F360" i="1"/>
  <c r="K359" i="1"/>
  <c r="I359" i="1"/>
  <c r="H359" i="1"/>
  <c r="G359" i="1"/>
  <c r="F359" i="1"/>
  <c r="K358" i="1"/>
  <c r="I358" i="1"/>
  <c r="H358" i="1"/>
  <c r="G358" i="1"/>
  <c r="F358" i="1"/>
  <c r="H321" i="1"/>
  <c r="H325" i="1"/>
  <c r="J321" i="1"/>
  <c r="I321" i="1"/>
  <c r="G321" i="1"/>
  <c r="F321" i="1"/>
  <c r="J302" i="1"/>
  <c r="I302" i="1"/>
  <c r="H302" i="1"/>
  <c r="G302" i="1"/>
  <c r="F302" i="1"/>
  <c r="J283" i="1"/>
  <c r="I283" i="1"/>
  <c r="H283" i="1"/>
  <c r="G283" i="1"/>
  <c r="F283" i="1"/>
  <c r="J320" i="1"/>
  <c r="I320" i="1"/>
  <c r="H320" i="1"/>
  <c r="G320" i="1"/>
  <c r="F320" i="1"/>
  <c r="J301" i="1"/>
  <c r="I301" i="1"/>
  <c r="H301" i="1"/>
  <c r="G301" i="1"/>
  <c r="F301" i="1"/>
  <c r="J282" i="1"/>
  <c r="I282" i="1"/>
  <c r="H282" i="1"/>
  <c r="G282" i="1"/>
  <c r="F282" i="1"/>
  <c r="I319" i="1"/>
  <c r="H319" i="1"/>
  <c r="G319" i="1"/>
  <c r="F319" i="1"/>
  <c r="I300" i="1"/>
  <c r="H300" i="1"/>
  <c r="G300" i="1"/>
  <c r="F300" i="1"/>
  <c r="I281" i="1"/>
  <c r="H281" i="1"/>
  <c r="G281" i="1"/>
  <c r="F281" i="1"/>
  <c r="I315" i="1"/>
  <c r="H315" i="1"/>
  <c r="I296" i="1"/>
  <c r="H296" i="1"/>
  <c r="I277" i="1"/>
  <c r="H277" i="1"/>
  <c r="I314" i="1"/>
  <c r="H314" i="1"/>
  <c r="G314" i="1"/>
  <c r="F314" i="1"/>
  <c r="I295" i="1"/>
  <c r="H295" i="1"/>
  <c r="G295" i="1"/>
  <c r="F295" i="1"/>
  <c r="I276" i="1"/>
  <c r="H276" i="1"/>
  <c r="G276" i="1"/>
  <c r="F276" i="1"/>
  <c r="G243" i="1"/>
  <c r="G225" i="1"/>
  <c r="G207" i="1"/>
  <c r="G241" i="1"/>
  <c r="G223" i="1"/>
  <c r="G205" i="1"/>
  <c r="G239" i="1"/>
  <c r="G221" i="1"/>
  <c r="G203" i="1"/>
  <c r="G238" i="1"/>
  <c r="G220" i="1"/>
  <c r="G202" i="1"/>
  <c r="G251" i="1"/>
  <c r="G236" i="1"/>
  <c r="G218" i="1"/>
  <c r="G200" i="1"/>
  <c r="G235" i="1"/>
  <c r="G234" i="1"/>
  <c r="G216" i="1"/>
  <c r="G198" i="1"/>
  <c r="G233" i="1"/>
  <c r="G215" i="1"/>
  <c r="G197" i="1"/>
  <c r="F233" i="1"/>
  <c r="F215" i="1"/>
  <c r="F197" i="1"/>
  <c r="K266" i="1"/>
  <c r="K261" i="1"/>
  <c r="K260" i="1"/>
  <c r="J245" i="1"/>
  <c r="I245" i="1"/>
  <c r="H245" i="1"/>
  <c r="G245" i="1"/>
  <c r="F245" i="1"/>
  <c r="J227" i="1"/>
  <c r="I227" i="1"/>
  <c r="H227" i="1"/>
  <c r="G227" i="1"/>
  <c r="F227" i="1"/>
  <c r="J209" i="1"/>
  <c r="I209" i="1"/>
  <c r="H209" i="1"/>
  <c r="G209" i="1"/>
  <c r="F209" i="1"/>
  <c r="J244" i="1"/>
  <c r="I244" i="1"/>
  <c r="H244" i="1"/>
  <c r="G244" i="1"/>
  <c r="F244" i="1"/>
  <c r="K226" i="1"/>
  <c r="J226" i="1"/>
  <c r="I226" i="1"/>
  <c r="H226" i="1"/>
  <c r="G226" i="1"/>
  <c r="F226" i="1"/>
  <c r="K208" i="1"/>
  <c r="J208" i="1"/>
  <c r="I208" i="1"/>
  <c r="H208" i="1"/>
  <c r="G208" i="1"/>
  <c r="F208" i="1"/>
  <c r="K243" i="1"/>
  <c r="J243" i="1"/>
  <c r="I243" i="1"/>
  <c r="H243" i="1"/>
  <c r="F243" i="1"/>
  <c r="K225" i="1"/>
  <c r="J225" i="1"/>
  <c r="I225" i="1"/>
  <c r="H225" i="1"/>
  <c r="F225" i="1"/>
  <c r="K207" i="1"/>
  <c r="J207" i="1"/>
  <c r="I207" i="1"/>
  <c r="H207" i="1"/>
  <c r="F207" i="1"/>
  <c r="F224" i="1"/>
  <c r="K242" i="1"/>
  <c r="J242" i="1"/>
  <c r="I242" i="1"/>
  <c r="H242" i="1"/>
  <c r="G242" i="1"/>
  <c r="F242" i="1"/>
  <c r="K224" i="1"/>
  <c r="J224" i="1"/>
  <c r="I224" i="1"/>
  <c r="H224" i="1"/>
  <c r="G224" i="1"/>
  <c r="K206" i="1"/>
  <c r="J206" i="1"/>
  <c r="I206" i="1"/>
  <c r="H206" i="1"/>
  <c r="G206" i="1"/>
  <c r="F206" i="1"/>
  <c r="H240" i="1"/>
  <c r="K240" i="1"/>
  <c r="J240" i="1"/>
  <c r="I240" i="1"/>
  <c r="G240" i="1"/>
  <c r="F240" i="1"/>
  <c r="K222" i="1"/>
  <c r="J222" i="1"/>
  <c r="I222" i="1"/>
  <c r="H222" i="1"/>
  <c r="G222" i="1"/>
  <c r="F222" i="1"/>
  <c r="H204" i="1"/>
  <c r="J204" i="1"/>
  <c r="I204" i="1"/>
  <c r="G204" i="1"/>
  <c r="F204" i="1"/>
  <c r="K239" i="1"/>
  <c r="J239" i="1"/>
  <c r="I239" i="1"/>
  <c r="H239" i="1"/>
  <c r="F239" i="1"/>
  <c r="K221" i="1"/>
  <c r="J221" i="1"/>
  <c r="I221" i="1"/>
  <c r="H221" i="1"/>
  <c r="F221" i="1"/>
  <c r="K203" i="1"/>
  <c r="J203" i="1"/>
  <c r="I203" i="1"/>
  <c r="H203" i="1"/>
  <c r="F203" i="1"/>
  <c r="J238" i="1"/>
  <c r="I238" i="1"/>
  <c r="H238" i="1"/>
  <c r="F238" i="1"/>
  <c r="J220" i="1"/>
  <c r="I220" i="1"/>
  <c r="H220" i="1"/>
  <c r="F220" i="1"/>
  <c r="F236" i="1"/>
  <c r="F218" i="1"/>
  <c r="F200" i="1"/>
  <c r="J234" i="1"/>
  <c r="I234" i="1"/>
  <c r="H234" i="1"/>
  <c r="F234" i="1"/>
  <c r="J216" i="1"/>
  <c r="I216" i="1"/>
  <c r="H216" i="1"/>
  <c r="F216" i="1"/>
  <c r="J198" i="1"/>
  <c r="I198" i="1"/>
  <c r="F198" i="1"/>
  <c r="I233" i="1"/>
  <c r="H233" i="1"/>
  <c r="I215" i="1"/>
  <c r="H215" i="1"/>
  <c r="I197" i="1"/>
  <c r="H197" i="1"/>
  <c r="I400" i="1"/>
  <c r="H400" i="1"/>
  <c r="G400" i="1"/>
  <c r="J472" i="1"/>
  <c r="J380" i="1"/>
  <c r="H380" i="1"/>
  <c r="H379" i="1"/>
  <c r="I379" i="1"/>
  <c r="J378" i="1"/>
  <c r="I380" i="1"/>
  <c r="J360" i="1"/>
  <c r="J359" i="1"/>
  <c r="J358" i="1"/>
  <c r="I317" i="1" l="1"/>
  <c r="K320" i="1"/>
  <c r="J333" i="1"/>
  <c r="I333" i="1"/>
  <c r="H333" i="1"/>
  <c r="G333" i="1"/>
  <c r="F333" i="1"/>
  <c r="J317" i="1"/>
  <c r="G317" i="1"/>
  <c r="F317" i="1"/>
  <c r="I298" i="1"/>
  <c r="G298" i="1"/>
  <c r="F298" i="1"/>
  <c r="I279" i="1"/>
  <c r="H279" i="1"/>
  <c r="G279" i="1"/>
  <c r="F279" i="1"/>
  <c r="K316" i="1"/>
  <c r="J316" i="1"/>
  <c r="I316" i="1"/>
  <c r="H316" i="1"/>
  <c r="G316" i="1"/>
  <c r="F316" i="1"/>
  <c r="J315" i="1"/>
  <c r="G315" i="1"/>
  <c r="F315" i="1"/>
  <c r="G296" i="1"/>
  <c r="F296" i="1"/>
  <c r="G277" i="1"/>
  <c r="F277" i="1"/>
  <c r="J314" i="1"/>
  <c r="J295" i="1"/>
  <c r="K276" i="1"/>
  <c r="K251" i="1"/>
  <c r="I251" i="1"/>
  <c r="H251" i="1"/>
  <c r="F251" i="1"/>
  <c r="J255" i="1"/>
  <c r="I255" i="1"/>
  <c r="H255" i="1"/>
  <c r="K241" i="1"/>
  <c r="J241" i="1"/>
  <c r="I241" i="1"/>
  <c r="H241" i="1"/>
  <c r="F241" i="1"/>
  <c r="K238" i="1"/>
  <c r="K236" i="1"/>
  <c r="J236" i="1"/>
  <c r="I236" i="1"/>
  <c r="H236" i="1"/>
  <c r="K235" i="1"/>
  <c r="J235" i="1"/>
  <c r="I235" i="1"/>
  <c r="H235" i="1"/>
  <c r="F235" i="1"/>
  <c r="K234" i="1"/>
  <c r="K233" i="1"/>
  <c r="J233" i="1"/>
  <c r="K223" i="1"/>
  <c r="J223" i="1"/>
  <c r="I223" i="1"/>
  <c r="H223" i="1"/>
  <c r="F223" i="1"/>
  <c r="K220" i="1"/>
  <c r="K218" i="1"/>
  <c r="J218" i="1"/>
  <c r="I218" i="1"/>
  <c r="H218" i="1"/>
  <c r="J215" i="1"/>
  <c r="K205" i="1"/>
  <c r="J205" i="1"/>
  <c r="I205" i="1"/>
  <c r="H205" i="1"/>
  <c r="F205" i="1"/>
  <c r="I202" i="1"/>
  <c r="H202" i="1"/>
  <c r="F202" i="1"/>
  <c r="K197" i="1"/>
  <c r="J197" i="1"/>
  <c r="J465" i="1"/>
  <c r="I465" i="1"/>
  <c r="H465" i="1"/>
  <c r="F465" i="1"/>
  <c r="J468" i="1" l="1"/>
  <c r="J96" i="1"/>
  <c r="H191" i="1"/>
  <c r="H157" i="1"/>
  <c r="H156" i="1"/>
  <c r="H155" i="1"/>
  <c r="H131" i="1"/>
  <c r="G97" i="1"/>
  <c r="G158" i="1"/>
  <c r="G132" i="1"/>
  <c r="G110" i="1"/>
  <c r="G96" i="1"/>
  <c r="F120" i="1"/>
  <c r="F98" i="1"/>
  <c r="F96" i="1"/>
  <c r="F86" i="1"/>
  <c r="F69" i="1"/>
  <c r="F63" i="1"/>
  <c r="F57" i="1"/>
  <c r="G459" i="1"/>
  <c r="G448" i="1"/>
  <c r="G441" i="1"/>
  <c r="G440" i="1"/>
  <c r="I48" i="1"/>
  <c r="H4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C114" i="2" s="1"/>
  <c r="F18" i="13"/>
  <c r="G18" i="13"/>
  <c r="L252" i="1"/>
  <c r="F19" i="13"/>
  <c r="D19" i="13" s="1"/>
  <c r="C19" i="13" s="1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C32" i="10" s="1"/>
  <c r="L342" i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D56" i="2" s="1"/>
  <c r="H60" i="1"/>
  <c r="I60" i="1"/>
  <c r="F79" i="1"/>
  <c r="C57" i="2" s="1"/>
  <c r="F94" i="1"/>
  <c r="C58" i="2" s="1"/>
  <c r="F111" i="1"/>
  <c r="G111" i="1"/>
  <c r="H79" i="1"/>
  <c r="E57" i="2" s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40" i="1" s="1"/>
  <c r="J136" i="1"/>
  <c r="F147" i="1"/>
  <c r="F162" i="1"/>
  <c r="G147" i="1"/>
  <c r="D85" i="2" s="1"/>
  <c r="G162" i="1"/>
  <c r="H147" i="1"/>
  <c r="H162" i="1"/>
  <c r="H169" i="1" s="1"/>
  <c r="I147" i="1"/>
  <c r="I169" i="1" s="1"/>
  <c r="I162" i="1"/>
  <c r="L250" i="1"/>
  <c r="L332" i="1"/>
  <c r="L254" i="1"/>
  <c r="C25" i="10"/>
  <c r="L268" i="1"/>
  <c r="C142" i="2" s="1"/>
  <c r="L269" i="1"/>
  <c r="L349" i="1"/>
  <c r="L350" i="1"/>
  <c r="E143" i="2" s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L522" i="1"/>
  <c r="F550" i="1" s="1"/>
  <c r="L523" i="1"/>
  <c r="F551" i="1" s="1"/>
  <c r="L526" i="1"/>
  <c r="L527" i="1"/>
  <c r="G550" i="1" s="1"/>
  <c r="L528" i="1"/>
  <c r="G551" i="1" s="1"/>
  <c r="L531" i="1"/>
  <c r="H549" i="1" s="1"/>
  <c r="L532" i="1"/>
  <c r="L533" i="1"/>
  <c r="H551" i="1" s="1"/>
  <c r="L536" i="1"/>
  <c r="I549" i="1" s="1"/>
  <c r="L537" i="1"/>
  <c r="I550" i="1" s="1"/>
  <c r="L538" i="1"/>
  <c r="L541" i="1"/>
  <c r="L542" i="1"/>
  <c r="J550" i="1" s="1"/>
  <c r="L543" i="1"/>
  <c r="J551" i="1" s="1"/>
  <c r="E132" i="2"/>
  <c r="K270" i="1"/>
  <c r="J270" i="1"/>
  <c r="I270" i="1"/>
  <c r="L270" i="1" s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E56" i="2"/>
  <c r="F56" i="2"/>
  <c r="C59" i="2"/>
  <c r="D59" i="2"/>
  <c r="E59" i="2"/>
  <c r="F59" i="2"/>
  <c r="D60" i="2"/>
  <c r="C61" i="2"/>
  <c r="D61" i="2"/>
  <c r="D62" i="2" s="1"/>
  <c r="D63" i="2" s="1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8" i="2" s="1"/>
  <c r="C81" i="2" s="1"/>
  <c r="C76" i="2"/>
  <c r="E76" i="2"/>
  <c r="F76" i="2"/>
  <c r="C77" i="2"/>
  <c r="D77" i="2"/>
  <c r="D78" i="2" s="1"/>
  <c r="D81" i="2" s="1"/>
  <c r="E77" i="2"/>
  <c r="F77" i="2"/>
  <c r="G77" i="2"/>
  <c r="G78" i="2" s="1"/>
  <c r="C79" i="2"/>
  <c r="D79" i="2"/>
  <c r="E79" i="2"/>
  <c r="C80" i="2"/>
  <c r="E80" i="2"/>
  <c r="C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E112" i="2"/>
  <c r="C113" i="2"/>
  <c r="E113" i="2"/>
  <c r="D115" i="2"/>
  <c r="F115" i="2"/>
  <c r="G115" i="2"/>
  <c r="E119" i="2"/>
  <c r="E120" i="2"/>
  <c r="E121" i="2"/>
  <c r="E123" i="2"/>
  <c r="E125" i="2"/>
  <c r="F128" i="2"/>
  <c r="G128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H644" i="1" s="1"/>
  <c r="I408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G452" i="1"/>
  <c r="H452" i="1"/>
  <c r="I452" i="1"/>
  <c r="F460" i="1"/>
  <c r="G460" i="1"/>
  <c r="H460" i="1"/>
  <c r="F461" i="1"/>
  <c r="G461" i="1"/>
  <c r="H640" i="1" s="1"/>
  <c r="J640" i="1" s="1"/>
  <c r="H461" i="1"/>
  <c r="F470" i="1"/>
  <c r="G470" i="1"/>
  <c r="H470" i="1"/>
  <c r="I470" i="1"/>
  <c r="J470" i="1"/>
  <c r="F474" i="1"/>
  <c r="G474" i="1"/>
  <c r="G476" i="1" s="1"/>
  <c r="H623" i="1" s="1"/>
  <c r="H474" i="1"/>
  <c r="I474" i="1"/>
  <c r="J474" i="1"/>
  <c r="J476" i="1" s="1"/>
  <c r="H626" i="1" s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F571" i="1" s="1"/>
  <c r="G565" i="1"/>
  <c r="H565" i="1"/>
  <c r="I565" i="1"/>
  <c r="I571" i="1" s="1"/>
  <c r="J565" i="1"/>
  <c r="K565" i="1"/>
  <c r="L567" i="1"/>
  <c r="L568" i="1"/>
  <c r="L569" i="1"/>
  <c r="F570" i="1"/>
  <c r="G570" i="1"/>
  <c r="H570" i="1"/>
  <c r="I570" i="1"/>
  <c r="J570" i="1"/>
  <c r="J571" i="1" s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H639" i="1"/>
  <c r="G640" i="1"/>
  <c r="G641" i="1"/>
  <c r="J641" i="1" s="1"/>
  <c r="H641" i="1"/>
  <c r="G643" i="1"/>
  <c r="H643" i="1"/>
  <c r="G644" i="1"/>
  <c r="G645" i="1"/>
  <c r="G652" i="1"/>
  <c r="H652" i="1"/>
  <c r="G653" i="1"/>
  <c r="H653" i="1"/>
  <c r="G654" i="1"/>
  <c r="H654" i="1"/>
  <c r="H655" i="1"/>
  <c r="A31" i="12"/>
  <c r="C70" i="2"/>
  <c r="D18" i="13"/>
  <c r="C18" i="13" s="1"/>
  <c r="F78" i="2"/>
  <c r="D50" i="2"/>
  <c r="G161" i="2"/>
  <c r="E103" i="2"/>
  <c r="G62" i="2"/>
  <c r="J617" i="1"/>
  <c r="E78" i="2"/>
  <c r="E81" i="2" s="1"/>
  <c r="J639" i="1"/>
  <c r="K605" i="1"/>
  <c r="G648" i="1" s="1"/>
  <c r="F476" i="1"/>
  <c r="H622" i="1" s="1"/>
  <c r="J622" i="1" s="1"/>
  <c r="F169" i="1"/>
  <c r="G22" i="2"/>
  <c r="F22" i="13"/>
  <c r="C22" i="13" s="1"/>
  <c r="H571" i="1"/>
  <c r="H192" i="1"/>
  <c r="L570" i="1"/>
  <c r="G36" i="2"/>
  <c r="A13" i="12" l="1"/>
  <c r="L565" i="1"/>
  <c r="K545" i="1"/>
  <c r="J545" i="1"/>
  <c r="G545" i="1"/>
  <c r="H545" i="1"/>
  <c r="H662" i="1"/>
  <c r="H338" i="1"/>
  <c r="H352" i="1" s="1"/>
  <c r="J655" i="1"/>
  <c r="E16" i="13"/>
  <c r="G651" i="1"/>
  <c r="J651" i="1" s="1"/>
  <c r="H647" i="1"/>
  <c r="E13" i="13"/>
  <c r="C13" i="13" s="1"/>
  <c r="C17" i="10"/>
  <c r="C16" i="10"/>
  <c r="G257" i="1"/>
  <c r="G271" i="1" s="1"/>
  <c r="C110" i="2"/>
  <c r="F257" i="1"/>
  <c r="F271" i="1" s="1"/>
  <c r="I369" i="1"/>
  <c r="H634" i="1" s="1"/>
  <c r="J634" i="1" s="1"/>
  <c r="L401" i="1"/>
  <c r="C139" i="2" s="1"/>
  <c r="L362" i="1"/>
  <c r="C27" i="10" s="1"/>
  <c r="F661" i="1"/>
  <c r="G661" i="1"/>
  <c r="D29" i="13"/>
  <c r="C29" i="13" s="1"/>
  <c r="H661" i="1"/>
  <c r="E124" i="2"/>
  <c r="E114" i="2"/>
  <c r="L309" i="1"/>
  <c r="C12" i="10"/>
  <c r="F338" i="1"/>
  <c r="F352" i="1" s="1"/>
  <c r="L328" i="1"/>
  <c r="C11" i="10"/>
  <c r="G338" i="1"/>
  <c r="G352" i="1" s="1"/>
  <c r="I476" i="1"/>
  <c r="H625" i="1" s="1"/>
  <c r="L256" i="1"/>
  <c r="D17" i="13"/>
  <c r="C17" i="13" s="1"/>
  <c r="D7" i="13"/>
  <c r="C7" i="13" s="1"/>
  <c r="C109" i="2"/>
  <c r="H25" i="13"/>
  <c r="C25" i="13" s="1"/>
  <c r="H257" i="1"/>
  <c r="H271" i="1" s="1"/>
  <c r="C123" i="2"/>
  <c r="J257" i="1"/>
  <c r="J271" i="1" s="1"/>
  <c r="D5" i="13"/>
  <c r="C5" i="13" s="1"/>
  <c r="L229" i="1"/>
  <c r="G660" i="1" s="1"/>
  <c r="C20" i="10"/>
  <c r="J645" i="1"/>
  <c r="J644" i="1"/>
  <c r="H476" i="1"/>
  <c r="H624" i="1" s="1"/>
  <c r="H140" i="1"/>
  <c r="E62" i="2"/>
  <c r="E63" i="2" s="1"/>
  <c r="D91" i="2"/>
  <c r="F192" i="1"/>
  <c r="C91" i="2"/>
  <c r="F112" i="1"/>
  <c r="I460" i="1"/>
  <c r="I461" i="1" s="1"/>
  <c r="H642" i="1" s="1"/>
  <c r="I446" i="1"/>
  <c r="G642" i="1" s="1"/>
  <c r="J624" i="1"/>
  <c r="J623" i="1"/>
  <c r="I551" i="1"/>
  <c r="K551" i="1" s="1"/>
  <c r="L539" i="1"/>
  <c r="H550" i="1"/>
  <c r="L534" i="1"/>
  <c r="G549" i="1"/>
  <c r="G552" i="1" s="1"/>
  <c r="L529" i="1"/>
  <c r="F130" i="2"/>
  <c r="F144" i="2" s="1"/>
  <c r="F145" i="2" s="1"/>
  <c r="J625" i="1"/>
  <c r="D18" i="2"/>
  <c r="F18" i="2"/>
  <c r="C18" i="2"/>
  <c r="C16" i="13"/>
  <c r="J643" i="1"/>
  <c r="K598" i="1"/>
  <c r="G647" i="1" s="1"/>
  <c r="J647" i="1" s="1"/>
  <c r="K571" i="1"/>
  <c r="L560" i="1"/>
  <c r="L571" i="1" s="1"/>
  <c r="D31" i="2"/>
  <c r="E31" i="2"/>
  <c r="G662" i="1"/>
  <c r="G650" i="1"/>
  <c r="C13" i="10"/>
  <c r="H112" i="1"/>
  <c r="H193" i="1" s="1"/>
  <c r="G629" i="1" s="1"/>
  <c r="J629" i="1" s="1"/>
  <c r="F81" i="2"/>
  <c r="L351" i="1"/>
  <c r="I545" i="1"/>
  <c r="I257" i="1"/>
  <c r="I271" i="1" s="1"/>
  <c r="K257" i="1"/>
  <c r="K271" i="1" s="1"/>
  <c r="G157" i="2"/>
  <c r="C125" i="2"/>
  <c r="C119" i="2"/>
  <c r="C21" i="10"/>
  <c r="C56" i="2"/>
  <c r="C35" i="10"/>
  <c r="A40" i="12"/>
  <c r="E122" i="2"/>
  <c r="E118" i="2"/>
  <c r="E128" i="2" s="1"/>
  <c r="C10" i="10"/>
  <c r="E109" i="2"/>
  <c r="L290" i="1"/>
  <c r="F662" i="1"/>
  <c r="C124" i="2"/>
  <c r="G649" i="1"/>
  <c r="J649" i="1" s="1"/>
  <c r="D15" i="13"/>
  <c r="C15" i="13" s="1"/>
  <c r="D12" i="13"/>
  <c r="C12" i="13" s="1"/>
  <c r="C118" i="2"/>
  <c r="D6" i="13"/>
  <c r="C6" i="13" s="1"/>
  <c r="C15" i="10"/>
  <c r="C111" i="2"/>
  <c r="C122" i="2"/>
  <c r="C19" i="10"/>
  <c r="E8" i="13"/>
  <c r="C8" i="13" s="1"/>
  <c r="L614" i="1"/>
  <c r="L427" i="1"/>
  <c r="G192" i="1"/>
  <c r="B164" i="2"/>
  <c r="G164" i="2" s="1"/>
  <c r="K503" i="1"/>
  <c r="C121" i="2"/>
  <c r="C112" i="2"/>
  <c r="E131" i="2"/>
  <c r="J549" i="1"/>
  <c r="J552" i="1" s="1"/>
  <c r="L544" i="1"/>
  <c r="F549" i="1"/>
  <c r="L524" i="1"/>
  <c r="L211" i="1"/>
  <c r="C26" i="10"/>
  <c r="L393" i="1"/>
  <c r="C138" i="2" s="1"/>
  <c r="C29" i="10"/>
  <c r="D127" i="2"/>
  <c r="D128" i="2" s="1"/>
  <c r="D145" i="2" s="1"/>
  <c r="D14" i="13"/>
  <c r="C14" i="13" s="1"/>
  <c r="C18" i="10"/>
  <c r="L247" i="1"/>
  <c r="C120" i="2"/>
  <c r="L382" i="1"/>
  <c r="G636" i="1" s="1"/>
  <c r="J636" i="1" s="1"/>
  <c r="K338" i="1"/>
  <c r="K352" i="1" s="1"/>
  <c r="G81" i="2"/>
  <c r="C62" i="2"/>
  <c r="C63" i="2" s="1"/>
  <c r="C104" i="2" s="1"/>
  <c r="G112" i="1"/>
  <c r="J338" i="1"/>
  <c r="J352" i="1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C24" i="10"/>
  <c r="G31" i="13"/>
  <c r="G33" i="13" s="1"/>
  <c r="I338" i="1"/>
  <c r="I352" i="1" s="1"/>
  <c r="J650" i="1"/>
  <c r="L407" i="1"/>
  <c r="C140" i="2" s="1"/>
  <c r="I192" i="1"/>
  <c r="E91" i="2"/>
  <c r="L408" i="1"/>
  <c r="G637" i="1" s="1"/>
  <c r="J637" i="1" s="1"/>
  <c r="D51" i="2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G169" i="1"/>
  <c r="C39" i="10" s="1"/>
  <c r="G140" i="1"/>
  <c r="F140" i="1"/>
  <c r="G63" i="2"/>
  <c r="G104" i="2" s="1"/>
  <c r="J618" i="1"/>
  <c r="G42" i="2"/>
  <c r="G50" i="2" s="1"/>
  <c r="G51" i="2" s="1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A22" i="12"/>
  <c r="J652" i="1"/>
  <c r="J642" i="1"/>
  <c r="G571" i="1"/>
  <c r="I434" i="1"/>
  <c r="G434" i="1"/>
  <c r="I663" i="1"/>
  <c r="L545" i="1" l="1"/>
  <c r="G635" i="1"/>
  <c r="J635" i="1" s="1"/>
  <c r="E33" i="13"/>
  <c r="D35" i="13" s="1"/>
  <c r="H646" i="1"/>
  <c r="I661" i="1"/>
  <c r="E115" i="2"/>
  <c r="L338" i="1"/>
  <c r="L352" i="1" s="1"/>
  <c r="G633" i="1" s="1"/>
  <c r="J633" i="1" s="1"/>
  <c r="H660" i="1"/>
  <c r="H664" i="1" s="1"/>
  <c r="H672" i="1" s="1"/>
  <c r="C6" i="10" s="1"/>
  <c r="H648" i="1"/>
  <c r="J648" i="1" s="1"/>
  <c r="E145" i="2"/>
  <c r="H33" i="13"/>
  <c r="L257" i="1"/>
  <c r="L271" i="1" s="1"/>
  <c r="G632" i="1" s="1"/>
  <c r="J632" i="1" s="1"/>
  <c r="C115" i="2"/>
  <c r="I193" i="1"/>
  <c r="G630" i="1" s="1"/>
  <c r="J630" i="1" s="1"/>
  <c r="F104" i="2"/>
  <c r="E104" i="2"/>
  <c r="C36" i="10"/>
  <c r="F193" i="1"/>
  <c r="G627" i="1" s="1"/>
  <c r="J627" i="1" s="1"/>
  <c r="F51" i="2"/>
  <c r="H667" i="1"/>
  <c r="C128" i="2"/>
  <c r="I662" i="1"/>
  <c r="I552" i="1"/>
  <c r="K549" i="1"/>
  <c r="F552" i="1"/>
  <c r="F660" i="1"/>
  <c r="K550" i="1"/>
  <c r="H552" i="1"/>
  <c r="C28" i="10"/>
  <c r="D24" i="10" s="1"/>
  <c r="D31" i="13"/>
  <c r="C31" i="13" s="1"/>
  <c r="C141" i="2"/>
  <c r="C144" i="2" s="1"/>
  <c r="G664" i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K552" i="1" l="1"/>
  <c r="D10" i="10"/>
  <c r="D20" i="10"/>
  <c r="D26" i="10"/>
  <c r="D15" i="10"/>
  <c r="C30" i="10"/>
  <c r="D25" i="10"/>
  <c r="D19" i="10"/>
  <c r="D16" i="10"/>
  <c r="D23" i="10"/>
  <c r="F664" i="1"/>
  <c r="I660" i="1"/>
  <c r="I664" i="1" s="1"/>
  <c r="I672" i="1" s="1"/>
  <c r="C7" i="10" s="1"/>
  <c r="D13" i="10"/>
  <c r="D11" i="10"/>
  <c r="D21" i="10"/>
  <c r="D22" i="10"/>
  <c r="D33" i="13"/>
  <c r="D36" i="13" s="1"/>
  <c r="G667" i="1"/>
  <c r="G672" i="1"/>
  <c r="C5" i="10" s="1"/>
  <c r="D27" i="10"/>
  <c r="D18" i="10"/>
  <c r="D17" i="10"/>
  <c r="D12" i="10"/>
  <c r="C145" i="2"/>
  <c r="H656" i="1"/>
  <c r="C41" i="10"/>
  <c r="D38" i="10" s="1"/>
  <c r="I667" i="1" l="1"/>
  <c r="D28" i="10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<sst xmlns="http://schemas.openxmlformats.org/spreadsheetml/2006/main" count="3958" uniqueCount="916">
  <si>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</si>
  <si>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</si>
  <si>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</si>
  <si>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</si>
  <si>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</si>
  <si>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</si>
  <si>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</si>
  <si>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</si>
  <si>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</si>
  <si>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</si>
  <si>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</si>
  <si>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</si>
  <si>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</si>
  <si>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</si>
  <si>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</si>
  <si>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</si>
  <si>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</si>
  <si>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</si>
  <si>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</si>
  <si>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</si>
  <si>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</si>
  <si>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</si>
  <si>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</si>
  <si>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</si>
  <si>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</si>
  <si>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</si>
  <si>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</si>
  <si>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</si>
  <si>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</si>
  <si>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</si>
  <si>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</si>
  <si>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</si>
  <si>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</si>
  <si>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</si>
  <si>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</si>
  <si>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</si>
  <si>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</si>
  <si>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</si>
  <si>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</si>
  <si>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</si>
  <si>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</si>
  <si>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</si>
  <si>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</si>
  <si>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</si>
  <si>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</si>
  <si>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</si>
  <si>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</si>
  <si>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</si>
  <si>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</si>
  <si>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</si>
  <si>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</si>
  <si>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</si>
  <si>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</si>
  <si>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</si>
  <si>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</si>
  <si>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</si>
  <si>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</si>
  <si>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</si>
  <si>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</si>
  <si>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</si>
  <si>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</si>
  <si>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</si>
  <si>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</si>
  <si>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</si>
  <si>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</si>
  <si>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</si>
  <si>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</si>
  <si>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</si>
  <si>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</si>
  <si>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</si>
  <si>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</si>
  <si>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</si>
  <si>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</si>
  <si>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</si>
  <si>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</si>
  <si>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</si>
  <si>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</si>
  <si>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</si>
  <si>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</si>
  <si>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</si>
  <si>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</si>
  <si>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</si>
  <si>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</si>
  <si>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</si>
  <si>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</si>
  <si>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</si>
  <si>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</si>
  <si>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</si>
  <si>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</si>
  <si>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</si>
  <si>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</si>
  <si>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</si>
  <si>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</si>
  <si>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</si>
  <si>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</si>
  <si>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</si>
  <si>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</si>
  <si>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</si>
  <si>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</si>
  <si>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</si>
  <si>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</si>
  <si>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</si>
  <si>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</si>
  <si>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</si>
  <si>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</si>
  <si>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</si>
  <si>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</si>
  <si>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</si>
  <si>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</si>
  <si>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</si>
  <si>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</si>
  <si>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</si>
  <si>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</si>
  <si>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</si>
  <si>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</si>
  <si>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</si>
  <si>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</si>
  <si>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</si>
  <si>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</si>
  <si>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</si>
  <si>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</si>
  <si>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</si>
  <si>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</si>
  <si>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</si>
  <si>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</si>
  <si>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</si>
  <si>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</si>
  <si>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</si>
  <si>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</si>
  <si>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</si>
  <si>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</si>
  <si>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</si>
  <si>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</si>
  <si>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</si>
  <si>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</si>
  <si>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</si>
  <si>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</si>
  <si>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</si>
  <si>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</si>
  <si>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</si>
  <si>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</si>
  <si>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</si>
  <si>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</si>
  <si>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</si>
  <si>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</si>
  <si>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</si>
  <si>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</si>
  <si>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</si>
  <si>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</si>
  <si>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</si>
  <si>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</si>
  <si>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</si>
  <si>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</si>
  <si>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</si>
  <si>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</si>
  <si>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</si>
  <si>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</si>
  <si>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</si>
  <si>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</si>
  <si>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</si>
  <si>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</si>
  <si>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</si>
  <si>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</si>
  <si>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</si>
  <si>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</si>
  <si>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</si>
  <si>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</si>
  <si>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</si>
  <si>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</si>
  <si>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</si>
  <si>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</si>
  <si>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</si>
  <si>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</si>
  <si>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</si>
  <si>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</si>
  <si>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</si>
  <si>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</si>
  <si>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</si>
  <si>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</si>
  <si>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</si>
  <si>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</si>
  <si>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</si>
  <si>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</si>
  <si>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</si>
  <si>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</si>
  <si>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</si>
  <si>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</si>
  <si>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</si>
  <si>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</si>
  <si>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</si>
  <si>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</si>
  <si>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</si>
  <si>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</si>
  <si>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</si>
  <si>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</si>
  <si>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</si>
  <si>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</si>
  <si>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</si>
  <si>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</si>
  <si>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</si>
  <si>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</si>
  <si>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</si>
  <si>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</si>
  <si>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</si>
  <si>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</si>
  <si>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</si>
  <si>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</si>
  <si>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</si>
  <si>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</si>
  <si>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</si>
  <si>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</si>
  <si>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</si>
  <si>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</si>
  <si>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</si>
  <si>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</si>
  <si>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</si>
  <si>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</si>
  <si>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</si>
  <si>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</si>
  <si>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</si>
  <si>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</si>
  <si>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</si>
  <si>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</si>
  <si>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</si>
  <si>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</si>
  <si>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</si>
  <si>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</si>
  <si>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</si>
  <si>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</si>
  <si>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</si>
  <si>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</si>
  <si>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</si>
  <si>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</si>
  <si>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</si>
  <si>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</si>
  <si>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</si>
  <si>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</si>
  <si>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</si>
  <si>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</si>
  <si>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</si>
  <si>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</si>
  <si>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</si>
  <si>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</si>
  <si>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</si>
  <si>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</si>
  <si>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</si>
  <si>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</si>
  <si>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</si>
  <si>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</si>
  <si>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</si>
  <si>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</si>
  <si>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</si>
  <si>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</si>
  <si>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</si>
  <si>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</si>
  <si>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</si>
  <si>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</si>
  <si>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</si>
  <si>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</si>
  <si>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</si>
  <si>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</si>
  <si>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</si>
  <si>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</si>
  <si>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</si>
  <si>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</si>
  <si>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</si>
  <si>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</si>
  <si>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</si>
  <si>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</si>
  <si>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</si>
  <si>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</si>
  <si>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</si>
  <si>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</si>
  <si>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</si>
  <si>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</si>
  <si>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</si>
  <si>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</si>
  <si>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</si>
  <si>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</si>
  <si>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</si>
  <si>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</si>
  <si>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</si>
  <si>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</si>
  <si>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</si>
  <si>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</si>
  <si>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</si>
  <si>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</si>
  <si>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</si>
  <si>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</si>
  <si>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</si>
  <si>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</si>
  <si>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</si>
  <si>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</si>
  <si>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</si>
  <si>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</si>
  <si>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</si>
  <si>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</si>
  <si>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</si>
  <si>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</si>
  <si>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</si>
  <si>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</si>
  <si>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</si>
  <si>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</si>
  <si>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</si>
  <si>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</si>
  <si>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</si>
  <si>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</si>
  <si>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</si>
  <si>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</si>
  <si>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</si>
  <si>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</si>
  <si>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</si>
  <si>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</si>
  <si>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</si>
  <si>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</si>
  <si>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</si>
  <si>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</si>
  <si>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</si>
  <si>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</si>
  <si>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</si>
  <si>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</si>
  <si>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</si>
  <si>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</si>
  <si>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</si>
  <si>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</si>
  <si>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</si>
  <si>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</si>
  <si>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</si>
  <si>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</si>
  <si>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</si>
  <si>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</si>
  <si>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</si>
  <si>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</si>
  <si>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</si>
  <si>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</si>
  <si>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</si>
  <si>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</si>
  <si>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</si>
  <si>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</si>
  <si>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</si>
  <si>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</si>
  <si>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</si>
  <si>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</si>
  <si>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</si>
  <si>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</si>
  <si>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</si>
  <si>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</si>
  <si>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</si>
  <si>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</si>
  <si>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</si>
  <si>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</si>
  <si>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</si>
  <si>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</si>
  <si>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</si>
  <si>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</si>
  <si>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</si>
  <si>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</si>
  <si>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</si>
  <si>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</si>
  <si>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</si>
  <si>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</si>
  <si>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</si>
  <si>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</si>
  <si>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</si>
  <si>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</si>
  <si>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</si>
  <si>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</si>
  <si>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</si>
  <si>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</si>
  <si>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</si>
  <si>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</si>
  <si>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</si>
  <si>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</si>
  <si>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</si>
  <si>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</si>
  <si>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</si>
  <si>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</si>
  <si>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</si>
  <si>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</si>
  <si>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</si>
  <si>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</si>
  <si>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</si>
  <si>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</si>
  <si>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</si>
  <si>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</si>
  <si>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</si>
  <si>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</si>
  <si>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</si>
  <si>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</si>
  <si>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</si>
  <si>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</si>
  <si>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</si>
  <si>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</si>
  <si>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</si>
  <si>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</si>
  <si>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</si>
  <si>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</si>
  <si>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</si>
  <si>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</si>
  <si>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</si>
  <si>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</si>
  <si>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</si>
  <si>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</si>
  <si>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</si>
  <si>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</si>
  <si>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</si>
  <si>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</si>
  <si>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</si>
  <si>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</si>
  <si>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</si>
  <si>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</si>
  <si>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</si>
  <si>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</si>
  <si>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</si>
  <si>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</si>
  <si>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</si>
  <si>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</si>
  <si>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</si>
  <si>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</si>
  <si>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</si>
  <si>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</si>
  <si>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</si>
  <si>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</si>
  <si>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</si>
  <si>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</si>
  <si>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</si>
  <si>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</si>
  <si>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</si>
  <si>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</si>
  <si>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</si>
  <si>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</si>
  <si>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</si>
  <si>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</si>
  <si>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</si>
  <si>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</si>
  <si>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</si>
  <si>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</si>
  <si>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</si>
  <si>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</si>
  <si>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</si>
  <si>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</si>
  <si>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</si>
  <si>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</si>
  <si>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</si>
  <si>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</si>
  <si>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</si>
  <si>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</si>
  <si>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</si>
  <si>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</si>
  <si>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</si>
  <si>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</si>
  <si>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</si>
  <si>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</si>
  <si>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</si>
  <si>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</si>
  <si>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</si>
  <si>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</si>
  <si>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</si>
  <si>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</si>
  <si>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</si>
  <si>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</si>
  <si>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</si>
  <si>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</si>
  <si>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</si>
  <si>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</si>
  <si>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</si>
  <si>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</si>
  <si>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</si>
  <si>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</si>
  <si>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</si>
  <si>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</si>
  <si>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</si>
  <si>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</si>
  <si>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</si>
  <si>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</si>
  <si>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</si>
  <si>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</si>
  <si>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</si>
  <si>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</si>
  <si>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</si>
  <si>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</si>
  <si>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</si>
  <si>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</si>
  <si>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</si>
  <si>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</si>
  <si>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</si>
  <si>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</si>
  <si>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</si>
  <si>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</si>
  <si>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</si>
  <si>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</si>
  <si>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</si>
  <si>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</si>
  <si>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</si>
  <si>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</si>
  <si>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</si>
  <si>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</si>
  <si>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</si>
  <si>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</si>
  <si>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</si>
  <si>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</si>
  <si>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</si>
  <si>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</si>
  <si>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</si>
  <si>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</si>
  <si>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</si>
  <si>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</si>
  <si>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</si>
  <si>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</si>
  <si>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</si>
  <si>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</si>
  <si>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</si>
  <si>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</si>
  <si>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</si>
  <si>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</si>
  <si>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</si>
  <si>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</si>
  <si>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</si>
  <si>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</si>
  <si>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</si>
  <si>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</si>
  <si>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</si>
  <si>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</si>
  <si>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</si>
  <si>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</si>
  <si>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</si>
  <si>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</si>
  <si>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</si>
  <si>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</si>
  <si>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</si>
  <si>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</si>
  <si>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</si>
  <si>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</si>
  <si>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</si>
  <si>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</si>
  <si>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</si>
  <si>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</si>
  <si>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</si>
  <si>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</si>
  <si>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</si>
  <si>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</si>
  <si>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</si>
  <si>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</si>
  <si>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</si>
  <si>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</si>
  <si>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</si>
  <si>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</si>
  <si>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</si>
  <si>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</si>
  <si>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</si>
  <si>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</si>
  <si>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</si>
  <si>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</si>
  <si>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</si>
  <si>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</si>
  <si>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</si>
  <si>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</si>
  <si>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</si>
  <si>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</si>
  <si>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</si>
  <si>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</si>
  <si>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</si>
  <si>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</si>
  <si>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</si>
  <si>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</si>
  <si>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</si>
  <si>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</si>
  <si>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</si>
  <si>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</si>
  <si>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</si>
  <si>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</si>
  <si>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</si>
  <si>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</si>
  <si>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</si>
  <si>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</si>
  <si>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</si>
  <si>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</si>
  <si>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</si>
  <si>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</si>
  <si>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</si>
  <si>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</si>
  <si>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</si>
  <si>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</si>
  <si>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</si>
  <si>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</si>
  <si>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</si>
  <si>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</si>
  <si>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</si>
  <si>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</si>
  <si>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</si>
  <si>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</si>
  <si>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</si>
  <si>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</si>
  <si>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</si>
  <si>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</si>
  <si>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</si>
  <si>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</si>
  <si>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</si>
  <si>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</si>
  <si>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</si>
  <si>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</si>
  <si>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</si>
  <si>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</si>
  <si>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</si>
  <si>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</si>
  <si>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</si>
  <si>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</si>
  <si>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</si>
  <si>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</si>
  <si>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</si>
  <si>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</si>
  <si>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</si>
  <si>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</si>
  <si>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</si>
  <si>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</si>
  <si>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</si>
  <si>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</si>
  <si>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</si>
  <si>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</si>
  <si>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</si>
  <si>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</si>
  <si>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</si>
  <si>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</si>
  <si>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</si>
  <si>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</si>
  <si>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</si>
  <si>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</si>
  <si>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</si>
  <si>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</si>
  <si>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</si>
  <si>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</si>
  <si>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</si>
  <si>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</si>
  <si>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</si>
  <si>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</si>
  <si>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</si>
  <si>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</si>
  <si>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</si>
  <si>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</si>
  <si>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</si>
  <si>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</si>
  <si>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</si>
  <si>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</si>
  <si>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</si>
  <si>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</si>
  <si>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</si>
  <si>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</si>
  <si>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</si>
  <si>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</si>
  <si>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</si>
  <si>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</si>
  <si>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</si>
  <si>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</si>
  <si>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</si>
  <si>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</si>
  <si>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</si>
  <si>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</si>
  <si>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</si>
  <si>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</si>
  <si>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</si>
  <si>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</si>
  <si>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</si>
  <si>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</si>
  <si>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</si>
  <si>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</si>
  <si>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</si>
  <si>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</si>
  <si>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</si>
  <si>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</si>
  <si>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</si>
  <si>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</si>
  <si>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</si>
  <si>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</si>
  <si>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</si>
  <si>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</si>
  <si>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</si>
  <si>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</si>
  <si>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</si>
  <si>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</si>
  <si>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</si>
  <si>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</si>
  <si>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</si>
  <si>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</si>
  <si>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</si>
  <si>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</si>
  <si>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</si>
  <si>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</si>
  <si>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</si>
  <si>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</si>
  <si>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</si>
  <si>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</si>
  <si>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</si>
  <si>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</si>
  <si>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</si>
  <si>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</si>
  <si>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</si>
  <si>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</si>
  <si>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</si>
  <si>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</si>
  <si>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</si>
  <si>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</si>
  <si>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</si>
  <si>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</si>
  <si>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</si>
  <si>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</si>
  <si>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</si>
  <si>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</si>
  <si>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</si>
  <si>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</si>
  <si>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</si>
  <si>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</si>
  <si>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</si>
  <si>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</si>
  <si>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</si>
  <si>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</si>
  <si>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</si>
  <si>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</si>
  <si>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</si>
  <si>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</si>
  <si>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</si>
  <si>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</si>
  <si>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</si>
  <si>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</si>
  <si>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</si>
  <si>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</si>
  <si>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</si>
  <si>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</si>
  <si>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</si>
  <si>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</si>
  <si>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</si>
  <si>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</si>
  <si>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</si>
  <si>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</si>
  <si>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</si>
  <si>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</si>
  <si>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</si>
  <si>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</si>
  <si>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</si>
  <si>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</si>
  <si>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</si>
  <si>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</si>
  <si>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</si>
  <si>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</si>
  <si>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</si>
  <si>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</si>
  <si>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</si>
  <si>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</si>
  <si>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</si>
  <si>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</si>
  <si>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</si>
  <si>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</si>
  <si>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</si>
  <si>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</si>
  <si>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</si>
  <si>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</si>
  <si>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</si>
  <si>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</si>
  <si>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</si>
  <si>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</si>
  <si>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</si>
  <si>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</si>
  <si>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</si>
  <si>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</si>
  <si>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</si>
  <si>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</si>
  <si>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</si>
  <si>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</si>
  <si>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</si>
  <si>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</si>
  <si>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</si>
  <si>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</si>
  <si>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</si>
  <si>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</si>
  <si>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</si>
  <si>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</si>
  <si>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</si>
  <si>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</si>
  <si>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</si>
  <si>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</si>
  <si>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</si>
  <si>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</si>
  <si>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</si>
  <si>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</si>
  <si>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</si>
  <si>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</si>
  <si>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</si>
  <si>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</si>
  <si>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</si>
  <si>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</si>
  <si>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</si>
  <si>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</si>
  <si>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</si>
  <si>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</si>
  <si>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</si>
  <si>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</si>
  <si>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</si>
  <si>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</si>
  <si>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</si>
  <si>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</si>
  <si>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</si>
  <si>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</si>
  <si>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</si>
  <si>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</si>
  <si>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</si>
  <si>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</si>
  <si>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</si>
  <si>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</si>
  <si>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</si>
  <si>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</si>
  <si>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</si>
  <si>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</si>
  <si>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</si>
  <si>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</si>
  <si>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</si>
  <si>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</si>
  <si>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</si>
  <si>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</si>
  <si>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</si>
  <si>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</si>
  <si>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</si>
  <si>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</si>
  <si>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</si>
  <si>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</si>
  <si>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</si>
  <si>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</si>
  <si>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</si>
  <si>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</si>
  <si>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</si>
  <si>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</si>
  <si>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</si>
  <si>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</si>
  <si>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</si>
  <si>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</si>
  <si>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</si>
  <si>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</si>
  <si>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</si>
  <si>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</si>
  <si>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</si>
  <si>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</si>
  <si>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</si>
  <si>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</si>
  <si>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</si>
  <si>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</si>
  <si>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</si>
  <si>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</si>
  <si>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</si>
  <si>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</si>
  <si>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</si>
  <si>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</si>
  <si>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</si>
  <si>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</si>
  <si>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</si>
  <si>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</si>
  <si>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</si>
  <si>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</si>
  <si>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</si>
  <si>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</si>
  <si>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</si>
  <si>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</si>
  <si>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</si>
  <si>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</si>
  <si>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</si>
  <si>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</si>
  <si>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</si>
  <si>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</si>
  <si>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</si>
  <si>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</si>
  <si>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</si>
  <si>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</si>
  <si>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</si>
  <si>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</si>
  <si>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</si>
  <si>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</si>
  <si>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</si>
  <si>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</si>
  <si>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</si>
  <si>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</si>
  <si>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</si>
  <si>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</si>
  <si>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</si>
  <si>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</si>
  <si>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</si>
  <si>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</si>
  <si>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</si>
  <si>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</si>
  <si>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</si>
  <si>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</si>
  <si>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</si>
  <si>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</si>
  <si>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</si>
  <si>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</si>
  <si>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</si>
  <si>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</si>
  <si>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</si>
  <si>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</si>
  <si>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</si>
  <si>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</si>
  <si>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</si>
  <si>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</si>
  <si>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</si>
  <si>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</si>
  <si>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</si>
  <si>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</si>
  <si>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</si>
  <si>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</si>
  <si>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</si>
  <si>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</si>
  <si>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</si>
  <si>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</si>
  <si>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</si>
  <si>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</si>
  <si>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</si>
  <si>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11/91 - 12/10</t>
  </si>
  <si>
    <t>04/40</t>
  </si>
  <si>
    <t>See attached page for details</t>
  </si>
  <si>
    <t>Concord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</si>
</sst>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06" zoomScaleNormal="106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915</v>
      </c>
      <c r="B2" s="21">
        <v>111</v>
      </c>
      <c r="C2" s="21">
        <v>111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1857242.72</v>
      </c>
      <c r="G9" s="18">
        <v>28235.59</v>
      </c>
      <c r="H9" s="18">
        <v>-200340.99</v>
      </c>
      <c r="I9" s="18">
        <v>191166.04</v>
      </c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>
        <v>1333366.56</v>
      </c>
      <c r="I10" s="18">
        <v>26493.09</v>
      </c>
      <c r="J10" s="67">
        <f>SUM(I440)</f>
        <v>4967945.0999999996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101629026.44</v>
      </c>
      <c r="G12" s="18">
        <v>6883404.0099999998</v>
      </c>
      <c r="H12" s="18">
        <v>30110185.390000001</v>
      </c>
      <c r="I12" s="18">
        <v>64883514.369999997</v>
      </c>
      <c r="J12" s="67">
        <f>SUM(I441)</f>
        <v>-1703884.8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317876.92</v>
      </c>
      <c r="G14" s="18">
        <v>73183.89</v>
      </c>
      <c r="H14" s="18">
        <v>1095320.32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3789.71</v>
      </c>
      <c r="G16" s="18">
        <v>51360.63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96300</v>
      </c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103904235.78999999</v>
      </c>
      <c r="G19" s="41">
        <f>SUM(G9:G18)</f>
        <v>7036184.1199999992</v>
      </c>
      <c r="H19" s="41">
        <f>SUM(H9:H18)</f>
        <v>32338531.280000001</v>
      </c>
      <c r="I19" s="41">
        <f>SUM(I9:I18)</f>
        <v>65101173.5</v>
      </c>
      <c r="J19" s="41">
        <f>SUM(J9:J18)</f>
        <v>3264060.3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100459703.13</v>
      </c>
      <c r="G22" s="18">
        <v>6962913.3399999999</v>
      </c>
      <c r="H22" s="18">
        <v>31012794.800000001</v>
      </c>
      <c r="I22" s="18">
        <v>65077356.939999998</v>
      </c>
      <c r="J22" s="67">
        <f>SUM(I448)</f>
        <v>-1710742.77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0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134873.94</v>
      </c>
      <c r="G28" s="18">
        <v>17649.95</v>
      </c>
      <c r="H28" s="18">
        <v>468.62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177057.25</v>
      </c>
      <c r="G29" s="18">
        <v>30830.84</v>
      </c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18338.759999999998</v>
      </c>
      <c r="G30" s="18"/>
      <c r="H30" s="18">
        <v>10794.58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100789973.08</v>
      </c>
      <c r="G32" s="41">
        <f>SUM(G22:G31)</f>
        <v>7011394.1299999999</v>
      </c>
      <c r="H32" s="41">
        <f>SUM(H22:H31)</f>
        <v>31024058</v>
      </c>
      <c r="I32" s="41">
        <f>SUM(I22:I31)</f>
        <v>65077356.939999998</v>
      </c>
      <c r="J32" s="41">
        <f>SUM(J22:J31)</f>
        <v>-1710742.77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714498.41</v>
      </c>
      <c r="G45" s="18">
        <v>8321.01</v>
      </c>
      <c r="H45" s="18">
        <v>295399.5</v>
      </c>
      <c r="I45" s="18">
        <v>50640.43</v>
      </c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3789.85</v>
      </c>
      <c r="G48" s="18">
        <v>16468.98</v>
      </c>
      <c r="H48" s="18">
        <f>1246403-16276899.61+14990764.05+1058806.34</f>
        <v>1019073.7800000014</v>
      </c>
      <c r="I48" s="18">
        <f>6912557.44+192263383.74-199033611.78-169153.27</f>
        <v>-26823.869999994029</v>
      </c>
      <c r="J48" s="13">
        <f>SUM(I459)</f>
        <v>4964953.0699999994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9850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2395974.4500000002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3114262.71</v>
      </c>
      <c r="G51" s="41">
        <f>SUM(G35:G50)</f>
        <v>24789.989999999998</v>
      </c>
      <c r="H51" s="41">
        <f>SUM(H35:H50)</f>
        <v>1314473.2800000014</v>
      </c>
      <c r="I51" s="41">
        <f>SUM(I35:I50)</f>
        <v>23816.560000005971</v>
      </c>
      <c r="J51" s="41">
        <f>SUM(J35:J50)</f>
        <v>4974803.0699999994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103904235.78999999</v>
      </c>
      <c r="G52" s="41">
        <f>G51+G32</f>
        <v>7036184.1200000001</v>
      </c>
      <c r="H52" s="41">
        <f>H51+H32</f>
        <v>32338531.280000001</v>
      </c>
      <c r="I52" s="41">
        <f>I51+I32</f>
        <v>65101173.5</v>
      </c>
      <c r="J52" s="41">
        <f>J51+J32</f>
        <v>3264060.2999999993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42327368+105030.68</f>
        <v>42432398.68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42432398.68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f>114504+12133.13+92487</f>
        <v>219124.13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11417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80865.56</v>
      </c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2000471.33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f>436727.9+8624.99</f>
        <v>445352.89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647417.04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3404647.95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8751</v>
      </c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f>62643.13</f>
        <v>62643.13</v>
      </c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>
        <v>150136.38</v>
      </c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221530.51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f>10929.98</f>
        <v>10929.98</v>
      </c>
      <c r="G96" s="18">
        <f>12.77</f>
        <v>12.77</v>
      </c>
      <c r="H96" s="18">
        <v>24.16</v>
      </c>
      <c r="I96" s="18">
        <v>614.65</v>
      </c>
      <c r="J96" s="18">
        <f>8892.17+832.34</f>
        <v>9724.51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328571.95+19448+20114.46+205875.1+17977.44</f>
        <v>591986.94999999995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f>17351+98684.5</f>
        <v>116035.5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f>252131.45</f>
        <v>252131.45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103990.44</v>
      </c>
      <c r="I102" s="18"/>
      <c r="J102" s="18">
        <v>114476.06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4357.24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120593.81</v>
      </c>
      <c r="G110" s="18">
        <f>3045.35</f>
        <v>3045.35</v>
      </c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504047.98</v>
      </c>
      <c r="G111" s="41">
        <f>SUM(G96:G110)</f>
        <v>595045.06999999995</v>
      </c>
      <c r="H111" s="41">
        <f>SUM(H96:H110)</f>
        <v>104014.6</v>
      </c>
      <c r="I111" s="41">
        <f>SUM(I96:I110)</f>
        <v>614.65</v>
      </c>
      <c r="J111" s="41">
        <f>SUM(J96:J110)</f>
        <v>124200.56999999999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46562625.119999997</v>
      </c>
      <c r="G112" s="41">
        <f>G60+G111</f>
        <v>595045.06999999995</v>
      </c>
      <c r="H112" s="41">
        <f>H60+H79+H94+H111</f>
        <v>104014.6</v>
      </c>
      <c r="I112" s="41">
        <f>I60+I111</f>
        <v>614.65</v>
      </c>
      <c r="J112" s="41">
        <f>J60+J111</f>
        <v>124200.56999999999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12812824.300000001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8792619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f>29114.23</f>
        <v>29114.23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21634557.530000001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1395508.27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395945.99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1083780.52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>
        <f>72189.58</f>
        <v>72189.58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f>20962.3</f>
        <v>20962.3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>
        <v>129069.51</v>
      </c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2875234.7800000003</v>
      </c>
      <c r="G136" s="41">
        <f>SUM(G123:G135)</f>
        <v>20962.3</v>
      </c>
      <c r="H136" s="41">
        <f>SUM(H123:H135)</f>
        <v>201259.09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24509792.310000002</v>
      </c>
      <c r="G140" s="41">
        <f>G121+SUM(G136:G137)</f>
        <v>20962.3</v>
      </c>
      <c r="H140" s="41">
        <f>H121+SUM(H136:H139)</f>
        <v>201259.09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850282.6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850282.6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1133292.27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961623.4</f>
        <v>961623.4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f>415327.78</f>
        <v>415327.78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f>-7629.06</f>
        <v>-7629.06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946484.93+48970.71</f>
        <v>995455.64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1138644.1000000001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1132437.8400000001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47770.03</v>
      </c>
      <c r="G161" s="18"/>
      <c r="H161" s="18">
        <v>559439.81000000006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1180207.8700000001</v>
      </c>
      <c r="G162" s="41">
        <f>SUM(G150:G161)</f>
        <v>995455.64</v>
      </c>
      <c r="H162" s="41">
        <f>SUM(H150:H161)</f>
        <v>4200698.3000000007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2030490.4700000002</v>
      </c>
      <c r="G169" s="41">
        <f>G147+G162+SUM(G163:G168)</f>
        <v>995455.64</v>
      </c>
      <c r="H169" s="41">
        <f>H147+H162+SUM(H163:H168)</f>
        <v>4200698.3000000007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100000</v>
      </c>
      <c r="H179" s="18"/>
      <c r="I179" s="18"/>
      <c r="J179" s="18">
        <v>1180121.26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99295.360000000001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99295.360000000001</v>
      </c>
      <c r="G183" s="41">
        <f>SUM(G179:G182)</f>
        <v>100000</v>
      </c>
      <c r="H183" s="41">
        <f>SUM(H179:H182)</f>
        <v>0</v>
      </c>
      <c r="I183" s="41">
        <f>SUM(I179:I182)</f>
        <v>0</v>
      </c>
      <c r="J183" s="41">
        <f>SUM(J179:J182)</f>
        <v>1180121.26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1050131.1200000001</v>
      </c>
      <c r="G186" s="18"/>
      <c r="H186" s="18"/>
      <c r="I186" s="18">
        <v>75523.19</v>
      </c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1050131.1200000001</v>
      </c>
      <c r="G188" s="41">
        <f>SUM(G185:G187)</f>
        <v>0</v>
      </c>
      <c r="H188" s="41">
        <f>SUM(H185:H187)</f>
        <v>0</v>
      </c>
      <c r="I188" s="41">
        <f>SUM(I185:I187)</f>
        <v>75523.19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>
        <f>1627434.3</f>
        <v>1627434.3</v>
      </c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1149426.4800000002</v>
      </c>
      <c r="G192" s="41">
        <f>G183+SUM(G188:G191)</f>
        <v>100000</v>
      </c>
      <c r="H192" s="41">
        <f>+H183+SUM(H188:H191)</f>
        <v>1627434.3</v>
      </c>
      <c r="I192" s="41">
        <f>I177+I183+SUM(I188:I191)</f>
        <v>75523.19</v>
      </c>
      <c r="J192" s="41">
        <f>J183</f>
        <v>1180121.26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74252334.38000001</v>
      </c>
      <c r="G193" s="47">
        <f>G112+G140+G169+G192</f>
        <v>1711463.01</v>
      </c>
      <c r="H193" s="47">
        <f>H112+H140+H169+H192</f>
        <v>6133406.290000001</v>
      </c>
      <c r="I193" s="47">
        <f>I112+I140+I169+I192</f>
        <v>76137.84</v>
      </c>
      <c r="J193" s="47">
        <f>J112+J140+J192</f>
        <v>1304321.83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7595745.68+10832.95+181330.09</f>
        <v>7787908.7199999997</v>
      </c>
      <c r="G197" s="18">
        <f>3396412.56+2665.27+139036.6</f>
        <v>3538114.43</v>
      </c>
      <c r="H197" s="18">
        <f>106676.25+838.92</f>
        <v>107515.17</v>
      </c>
      <c r="I197" s="18">
        <f>261066.78+4383</f>
        <v>265449.78000000003</v>
      </c>
      <c r="J197" s="18">
        <f>30770.59</f>
        <v>30770.59</v>
      </c>
      <c r="K197" s="18">
        <f>99</f>
        <v>99</v>
      </c>
      <c r="L197" s="19">
        <f>SUM(F197:K197)</f>
        <v>11729857.689999999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2235461.58+1076707.98+228620.01+10804.09</f>
        <v>3551593.66</v>
      </c>
      <c r="G198" s="18">
        <f>747495.12+390264.7+85389.12+1742.99+58666.82</f>
        <v>1283558.75</v>
      </c>
      <c r="H198" s="18">
        <f>235655.17+462349.5+19280.79+39402.95-70437</f>
        <v>686251.41</v>
      </c>
      <c r="I198" s="18">
        <f>6623.38+5250.51+4366.7+2956.78</f>
        <v>19197.37</v>
      </c>
      <c r="J198" s="18">
        <f>741.47</f>
        <v>741.47</v>
      </c>
      <c r="K198" s="18"/>
      <c r="L198" s="19">
        <f>SUM(F198:K198)</f>
        <v>5541342.6600000001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8315.8+60687.87</f>
        <v>69003.67</v>
      </c>
      <c r="G200" s="18">
        <f>1774.18+28376.99+187.63</f>
        <v>30338.800000000003</v>
      </c>
      <c r="H200" s="18"/>
      <c r="I200" s="18"/>
      <c r="J200" s="18"/>
      <c r="K200" s="18"/>
      <c r="L200" s="19">
        <f>SUM(F200:K200)</f>
        <v>99342.47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375409.8+319934.47+188361.08+614981.48+244557.14</f>
        <v>1743243.9700000002</v>
      </c>
      <c r="G202" s="18">
        <f>171546.91+163987.48+75274.25+246464.43+94472.99+32460.64</f>
        <v>784206.70000000007</v>
      </c>
      <c r="H202" s="18">
        <f>14599.75+122505.09</f>
        <v>137104.84</v>
      </c>
      <c r="I202" s="18">
        <f>1130.11+7169.74+13983.76</f>
        <v>22283.61</v>
      </c>
      <c r="J202" s="18"/>
      <c r="K202" s="18"/>
      <c r="L202" s="19">
        <f t="shared" ref="L202:L208" si="0">SUM(F202:K202)</f>
        <v>2686839.12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349255.97+113358.75+66586.04+227512.79</f>
        <v>756713.55</v>
      </c>
      <c r="G203" s="18">
        <f>146436.03+20851.96+13820.95+157626.7+8506.06</f>
        <v>347241.7</v>
      </c>
      <c r="H203" s="18">
        <f>2814.54+25995.04+314749.28</f>
        <v>343558.86000000004</v>
      </c>
      <c r="I203" s="18">
        <f>15414.01+1070.16+3465.77+9563.33+92834.28</f>
        <v>122347.55</v>
      </c>
      <c r="J203" s="18">
        <f>259.58+4482.66</f>
        <v>4742.24</v>
      </c>
      <c r="K203" s="18">
        <f>587.98</f>
        <v>587.98</v>
      </c>
      <c r="L203" s="19">
        <f t="shared" si="0"/>
        <v>1575191.8800000001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212854.16</f>
        <v>212854.16</v>
      </c>
      <c r="G204" s="18">
        <f>87243.32</f>
        <v>87243.32</v>
      </c>
      <c r="H204" s="18">
        <f>80545.04</f>
        <v>80545.039999999994</v>
      </c>
      <c r="I204" s="18">
        <f>13116.86</f>
        <v>13116.86</v>
      </c>
      <c r="J204" s="18">
        <f>781.97</f>
        <v>781.97</v>
      </c>
      <c r="K204" s="18">
        <v>3947.52</v>
      </c>
      <c r="L204" s="19">
        <f t="shared" si="0"/>
        <v>398488.86999999994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736878.89</f>
        <v>736878.89</v>
      </c>
      <c r="G205" s="18">
        <f>365684.11+13634.72</f>
        <v>379318.82999999996</v>
      </c>
      <c r="H205" s="18">
        <f>12109.37</f>
        <v>12109.37</v>
      </c>
      <c r="I205" s="18">
        <f>3150.76</f>
        <v>3150.76</v>
      </c>
      <c r="J205" s="18">
        <f>0</f>
        <v>0</v>
      </c>
      <c r="K205" s="18">
        <f>6178.1</f>
        <v>6178.1</v>
      </c>
      <c r="L205" s="19">
        <f t="shared" si="0"/>
        <v>1137635.9500000002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f>202400.8</f>
        <v>202400.8</v>
      </c>
      <c r="G206" s="18">
        <f>92525.78</f>
        <v>92525.78</v>
      </c>
      <c r="H206" s="18">
        <f>6493.23</f>
        <v>6493.23</v>
      </c>
      <c r="I206" s="18">
        <f>1308.58</f>
        <v>1308.58</v>
      </c>
      <c r="J206" s="18">
        <f>1598.44</f>
        <v>1598.44</v>
      </c>
      <c r="K206" s="18">
        <f>1195</f>
        <v>1195</v>
      </c>
      <c r="L206" s="19">
        <f t="shared" si="0"/>
        <v>305521.82999999996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561034.99+180886.85</f>
        <v>741921.84</v>
      </c>
      <c r="G207" s="18">
        <f>278253.66+88514.27+10319.86</f>
        <v>377087.79</v>
      </c>
      <c r="H207" s="18">
        <f>2485.06+321876.82+201626.08</f>
        <v>525987.96</v>
      </c>
      <c r="I207" s="18">
        <f>53320.19+606493.94+26167.29</f>
        <v>685981.41999999993</v>
      </c>
      <c r="J207" s="18">
        <f>16424.81+25805.56</f>
        <v>42230.37</v>
      </c>
      <c r="K207" s="18">
        <f>114.46</f>
        <v>114.46</v>
      </c>
      <c r="L207" s="19">
        <f t="shared" si="0"/>
        <v>2373323.84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f>652080.83</f>
        <v>652080.82999999996</v>
      </c>
      <c r="G208" s="18">
        <f>213718.28</f>
        <v>213718.28</v>
      </c>
      <c r="H208" s="18">
        <f>976.1+19999.3+264518.25</f>
        <v>285493.65000000002</v>
      </c>
      <c r="I208" s="18">
        <f>150065.7</f>
        <v>150065.70000000001</v>
      </c>
      <c r="J208" s="18">
        <f>3693.56</f>
        <v>3693.56</v>
      </c>
      <c r="K208" s="18">
        <f>547.88</f>
        <v>547.88</v>
      </c>
      <c r="L208" s="19">
        <f t="shared" si="0"/>
        <v>1305599.8999999999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f>133712.46</f>
        <v>133712.46</v>
      </c>
      <c r="G209" s="18">
        <f>62851.97</f>
        <v>62851.97</v>
      </c>
      <c r="H209" s="18">
        <f>34854.09</f>
        <v>34854.089999999997</v>
      </c>
      <c r="I209" s="18">
        <f>2714.32</f>
        <v>2714.32</v>
      </c>
      <c r="J209" s="18">
        <f>2432.8</f>
        <v>2432.8000000000002</v>
      </c>
      <c r="K209" s="18"/>
      <c r="L209" s="19">
        <f>SUM(F209:K209)</f>
        <v>236565.63999999998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16588312.550000003</v>
      </c>
      <c r="G211" s="41">
        <f t="shared" si="1"/>
        <v>7196206.3500000006</v>
      </c>
      <c r="H211" s="41">
        <f t="shared" si="1"/>
        <v>2219913.62</v>
      </c>
      <c r="I211" s="41">
        <f t="shared" si="1"/>
        <v>1285615.95</v>
      </c>
      <c r="J211" s="41">
        <f t="shared" si="1"/>
        <v>86991.440000000017</v>
      </c>
      <c r="K211" s="41">
        <f t="shared" si="1"/>
        <v>12669.939999999999</v>
      </c>
      <c r="L211" s="41">
        <f t="shared" si="1"/>
        <v>27389709.849999998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4302802.53+5064.28+91182.88</f>
        <v>4399049.6900000004</v>
      </c>
      <c r="G215" s="18">
        <f>1868857.34+1245.98+78118.18</f>
        <v>1948221.5</v>
      </c>
      <c r="H215" s="18">
        <f>42427.06+392.19</f>
        <v>42819.25</v>
      </c>
      <c r="I215" s="18">
        <f>73299.63+2049</f>
        <v>75348.63</v>
      </c>
      <c r="J215" s="18">
        <f>42630.14</f>
        <v>42630.14</v>
      </c>
      <c r="K215" s="18"/>
      <c r="L215" s="19">
        <f>SUM(F215:K215)</f>
        <v>6508069.21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511133.45+614402.2+124748.17+4844.72</f>
        <v>1255128.5399999998</v>
      </c>
      <c r="G216" s="18">
        <f>154588.1+260484.32+44315.56+781.58+23516.76</f>
        <v>483686.32000000007</v>
      </c>
      <c r="H216" s="18">
        <f>563680.09+94117.67+4170.3+17668.89</f>
        <v>679636.95000000007</v>
      </c>
      <c r="I216" s="18">
        <f>4197.31+1170.68+1325.86</f>
        <v>6693.85</v>
      </c>
      <c r="J216" s="18">
        <f>332.49</f>
        <v>332.49</v>
      </c>
      <c r="K216" s="18"/>
      <c r="L216" s="19">
        <f>SUM(F216:K216)</f>
        <v>2425478.1500000004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14088+67690+28370.85</f>
        <v>110148.85</v>
      </c>
      <c r="G218" s="18">
        <f>2469.98+11199.64+13265.91+1438.53</f>
        <v>28374.059999999998</v>
      </c>
      <c r="H218" s="18">
        <f>27284.8</f>
        <v>27284.799999999999</v>
      </c>
      <c r="I218" s="18">
        <f>1065</f>
        <v>1065</v>
      </c>
      <c r="J218" s="18">
        <f>6817.62</f>
        <v>6817.62</v>
      </c>
      <c r="K218" s="18">
        <f>3625.5</f>
        <v>3625.5</v>
      </c>
      <c r="L218" s="19">
        <f>SUM(F218:K218)</f>
        <v>177315.83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281858.28+89287.27+65543+74922.46+29734.8+29900</f>
        <v>571245.81000000006</v>
      </c>
      <c r="G220" s="18">
        <f>126314.22+39597.89+39094.01+30543.5+2274.73+6200.49+9006.42</f>
        <v>253031.26</v>
      </c>
      <c r="H220" s="18">
        <f>461.25+13036.23+11659.58</f>
        <v>25157.059999999998</v>
      </c>
      <c r="I220" s="18">
        <f>600.14+2001.13+386.9+4289.62</f>
        <v>7277.79</v>
      </c>
      <c r="J220" s="18">
        <f>0+116.4</f>
        <v>116.4</v>
      </c>
      <c r="K220" s="18">
        <f>0</f>
        <v>0</v>
      </c>
      <c r="L220" s="19">
        <f t="shared" ref="L220:L226" si="2">SUM(F220:K220)</f>
        <v>856828.32000000018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16199+184041.45+102163.63</f>
        <v>302404.08</v>
      </c>
      <c r="G221" s="18">
        <f>3756.2+75558.37+68471.22+4002.85</f>
        <v>151788.63999999998</v>
      </c>
      <c r="H221" s="18">
        <f>6041.75+146514.64</f>
        <v>152556.39000000001</v>
      </c>
      <c r="I221" s="18">
        <f>14672.32+468.66+3752.24+43114.83</f>
        <v>62008.05</v>
      </c>
      <c r="J221" s="18">
        <f>2095.59</f>
        <v>2095.59</v>
      </c>
      <c r="K221" s="18">
        <f>273.27</f>
        <v>273.27</v>
      </c>
      <c r="L221" s="19">
        <f t="shared" si="2"/>
        <v>671126.02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99506.77</f>
        <v>99506.77</v>
      </c>
      <c r="G222" s="18">
        <f>40785.21</f>
        <v>40785.21</v>
      </c>
      <c r="H222" s="18">
        <f>37653.84</f>
        <v>37653.839999999997</v>
      </c>
      <c r="I222" s="18">
        <f>6131.97</f>
        <v>6131.97</v>
      </c>
      <c r="J222" s="18">
        <f>365.56</f>
        <v>365.56</v>
      </c>
      <c r="K222" s="18">
        <f>1845.42</f>
        <v>1845.42</v>
      </c>
      <c r="L222" s="19">
        <f t="shared" si="2"/>
        <v>186288.77000000002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f>583466.95</f>
        <v>583466.94999999995</v>
      </c>
      <c r="G223" s="18">
        <f>229660.37+11320.57</f>
        <v>240980.94</v>
      </c>
      <c r="H223" s="18">
        <f>15051.83</f>
        <v>15051.83</v>
      </c>
      <c r="I223" s="18">
        <f>6636.83</f>
        <v>6636.83</v>
      </c>
      <c r="J223" s="18">
        <f>0</f>
        <v>0</v>
      </c>
      <c r="K223" s="18">
        <f>3582</f>
        <v>3582</v>
      </c>
      <c r="L223" s="19">
        <f t="shared" si="2"/>
        <v>849718.54999999981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f>82781.08</f>
        <v>82781.08</v>
      </c>
      <c r="G224" s="18">
        <f>37842.66</f>
        <v>37842.660000000003</v>
      </c>
      <c r="H224" s="18">
        <f>2655.7</f>
        <v>2655.7</v>
      </c>
      <c r="I224" s="18">
        <f>535.2</f>
        <v>535.20000000000005</v>
      </c>
      <c r="J224" s="18">
        <f>653.76</f>
        <v>653.76</v>
      </c>
      <c r="K224" s="18">
        <f>488.75</f>
        <v>488.75</v>
      </c>
      <c r="L224" s="19">
        <f t="shared" si="2"/>
        <v>124957.15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258418.68+95263.9</f>
        <v>353682.57999999996</v>
      </c>
      <c r="G225" s="18">
        <f>117414.38+46615.96+4753.39</f>
        <v>168783.73</v>
      </c>
      <c r="H225" s="18">
        <f>935.07+121547.56+106186.19</f>
        <v>228668.82</v>
      </c>
      <c r="I225" s="18">
        <f>18557.88+349824.4+13780.98</f>
        <v>382163.26</v>
      </c>
      <c r="J225" s="18">
        <f>13784.26+3865.78+13590.47</f>
        <v>31240.510000000002</v>
      </c>
      <c r="K225" s="18">
        <f>60.28</f>
        <v>60.28</v>
      </c>
      <c r="L225" s="19">
        <f t="shared" si="2"/>
        <v>1164599.18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f>304839.97</f>
        <v>304839.96999999997</v>
      </c>
      <c r="G226" s="18">
        <f>99910.74</f>
        <v>99910.74</v>
      </c>
      <c r="H226" s="18">
        <f>25636.6+8462.4+123659.13</f>
        <v>157758.13</v>
      </c>
      <c r="I226" s="18">
        <f>70153.91</f>
        <v>70153.91</v>
      </c>
      <c r="J226" s="18">
        <f>1726.69</f>
        <v>1726.69</v>
      </c>
      <c r="K226" s="18">
        <f>256.12</f>
        <v>256.12</v>
      </c>
      <c r="L226" s="19">
        <f t="shared" si="2"/>
        <v>634645.55999999994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f>54687.84</f>
        <v>54687.839999999997</v>
      </c>
      <c r="G227" s="18">
        <f>25706.19</f>
        <v>25706.19</v>
      </c>
      <c r="H227" s="18">
        <f>14255.17</f>
        <v>14255.17</v>
      </c>
      <c r="I227" s="18">
        <f>1110.15</f>
        <v>1110.1500000000001</v>
      </c>
      <c r="J227" s="18">
        <f>995.01</f>
        <v>995.01</v>
      </c>
      <c r="K227" s="18"/>
      <c r="L227" s="19">
        <f>SUM(F227:K227)</f>
        <v>96754.359999999986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8116942.1600000001</v>
      </c>
      <c r="G229" s="41">
        <f>SUM(G215:G228)</f>
        <v>3479111.2500000009</v>
      </c>
      <c r="H229" s="41">
        <f>SUM(H215:H228)</f>
        <v>1383497.94</v>
      </c>
      <c r="I229" s="41">
        <f>SUM(I215:I228)</f>
        <v>619124.64000000013</v>
      </c>
      <c r="J229" s="41">
        <f>SUM(J215:J228)</f>
        <v>86973.77</v>
      </c>
      <c r="K229" s="41">
        <f t="shared" si="3"/>
        <v>10131.340000000002</v>
      </c>
      <c r="L229" s="41">
        <f t="shared" si="3"/>
        <v>13695781.099999998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5920700.92+8818.61+156258.03+2761.81</f>
        <v>6088539.3700000001</v>
      </c>
      <c r="G233" s="18">
        <f>2678854.75+2169.67+109953.37</f>
        <v>2790977.79</v>
      </c>
      <c r="H233" s="18">
        <f>412081.13+682.93</f>
        <v>412764.06</v>
      </c>
      <c r="I233" s="18">
        <f>137362.46+3568</f>
        <v>140930.46</v>
      </c>
      <c r="J233" s="18">
        <f>50637.18</f>
        <v>50637.18</v>
      </c>
      <c r="K233" s="18">
        <f>950</f>
        <v>950</v>
      </c>
      <c r="L233" s="19">
        <f>SUM(F233:K233)</f>
        <v>9484798.8600000013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1105023.53+1480322.48+231580.04+8635.5</f>
        <v>2825561.55</v>
      </c>
      <c r="G234" s="18">
        <f>374831.47+672718.52+99637.12+1393.14+50348.39</f>
        <v>1198928.6399999997</v>
      </c>
      <c r="H234" s="18">
        <f>1049941.8+5341.98+4968.11+31494.02</f>
        <v>1091745.9100000001</v>
      </c>
      <c r="I234" s="18">
        <f>1709+7919.05+5921.06+2363.3</f>
        <v>17912.41</v>
      </c>
      <c r="J234" s="18">
        <f>592.64</f>
        <v>592.64</v>
      </c>
      <c r="K234" s="18">
        <f>385</f>
        <v>385</v>
      </c>
      <c r="L234" s="19">
        <f>SUM(F234:K234)</f>
        <v>5135126.1499999994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f>97964.22+90077.39+42529.41+173250.29+327612.74</f>
        <v>731434.05</v>
      </c>
      <c r="G235" s="18">
        <f>63066.39+43091.7+10206.57+86494.74+127308.35+12508.92</f>
        <v>342676.67</v>
      </c>
      <c r="H235" s="18">
        <f>4560.22+3427.29+5888.05</f>
        <v>13875.560000000001</v>
      </c>
      <c r="I235" s="18">
        <f>15937.05+1511.73+912.56+13527.28+22527.83</f>
        <v>54416.450000000004</v>
      </c>
      <c r="J235" s="18">
        <f>210.29</f>
        <v>210.29</v>
      </c>
      <c r="K235" s="18">
        <f>439.95</f>
        <v>439.95</v>
      </c>
      <c r="L235" s="19">
        <f>SUM(F235:K235)</f>
        <v>1143052.97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63844+256475.35+9975+49403.23</f>
        <v>379697.57999999996</v>
      </c>
      <c r="G236" s="18">
        <f>13487.12+39929.04+986.43+23100.41+5566.47</f>
        <v>83069.47</v>
      </c>
      <c r="H236" s="18">
        <f>135772.87</f>
        <v>135772.87</v>
      </c>
      <c r="I236" s="18">
        <f>25366.23</f>
        <v>25366.23</v>
      </c>
      <c r="J236" s="18">
        <f>3610.43</f>
        <v>3610.43</v>
      </c>
      <c r="K236" s="18">
        <f>21346.85</f>
        <v>21346.85</v>
      </c>
      <c r="L236" s="19">
        <f>SUM(F236:K236)</f>
        <v>648863.42999999993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608169.12+109133.24+130426.36+109978.41+48380.02+0.09+39211.18+53253.32</f>
        <v>1098551.74</v>
      </c>
      <c r="G238" s="18">
        <f>255983.14+66794.86+40591.65+44655.24+16824.63+31361.05+11049.11+19138.64</f>
        <v>486398.32</v>
      </c>
      <c r="H238" s="18">
        <f>593.5+29327.12+20779.67</f>
        <v>50700.289999999994</v>
      </c>
      <c r="I238" s="18">
        <f>1005.1+1146.49+7644.78</f>
        <v>9796.369999999999</v>
      </c>
      <c r="J238" s="18">
        <f>349+207.47</f>
        <v>556.47</v>
      </c>
      <c r="K238" s="18">
        <f>332.5+90</f>
        <v>422.5</v>
      </c>
      <c r="L238" s="19">
        <f t="shared" ref="L238:L244" si="4">SUM(F238:K238)</f>
        <v>1646425.6900000002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160039.04+175810.64</f>
        <v>335849.68000000005</v>
      </c>
      <c r="G239" s="18">
        <f>85592.51+116631.81+2814.51</f>
        <v>205038.83000000002</v>
      </c>
      <c r="H239" s="18">
        <f>139+5525.05+254819.06</f>
        <v>260483.11</v>
      </c>
      <c r="I239" s="18">
        <f>23108.19+2949.69+13149.47+74935.9</f>
        <v>114143.25</v>
      </c>
      <c r="J239" s="18">
        <f>1375.97+3341.71+3214.33+3649.13</f>
        <v>11581.14</v>
      </c>
      <c r="K239" s="18">
        <f>475.06</f>
        <v>475.06</v>
      </c>
      <c r="L239" s="19">
        <f t="shared" si="4"/>
        <v>927571.07000000007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173274.84</f>
        <v>173274.84</v>
      </c>
      <c r="G240" s="18">
        <f>71020.8</f>
        <v>71020.800000000003</v>
      </c>
      <c r="H240" s="18">
        <f>65568.03</f>
        <v>65568.03</v>
      </c>
      <c r="I240" s="18">
        <f>10677.84</f>
        <v>10677.84</v>
      </c>
      <c r="J240" s="18">
        <f>636.57</f>
        <v>636.57000000000005</v>
      </c>
      <c r="K240" s="18">
        <f>3213.5</f>
        <v>3213.5</v>
      </c>
      <c r="L240" s="19">
        <f t="shared" si="4"/>
        <v>324391.58000000007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f>969126.31</f>
        <v>969126.31</v>
      </c>
      <c r="G241" s="18">
        <f>419278.75+17637.57</f>
        <v>436916.32</v>
      </c>
      <c r="H241" s="18">
        <f>22462.06+11914.79</f>
        <v>34376.850000000006</v>
      </c>
      <c r="I241" s="18">
        <f>2490.24+444.52</f>
        <v>2934.7599999999998</v>
      </c>
      <c r="J241" s="18">
        <f>1851.04+2500</f>
        <v>4351.04</v>
      </c>
      <c r="K241" s="18">
        <f>8977.74</f>
        <v>8977.74</v>
      </c>
      <c r="L241" s="19">
        <f t="shared" si="4"/>
        <v>1456683.0200000003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f>138250.75</f>
        <v>138250.75</v>
      </c>
      <c r="G242" s="18">
        <f>63200.14</f>
        <v>63200.14</v>
      </c>
      <c r="H242" s="18">
        <f>4435.23</f>
        <v>4435.2299999999996</v>
      </c>
      <c r="I242" s="18">
        <f>893.83</f>
        <v>893.83</v>
      </c>
      <c r="J242" s="18">
        <f>1091.82</f>
        <v>1091.82</v>
      </c>
      <c r="K242" s="18">
        <f>816.25</f>
        <v>816.25</v>
      </c>
      <c r="L242" s="19">
        <f t="shared" si="4"/>
        <v>208688.02000000002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485527.5+201123.27</f>
        <v>686650.77</v>
      </c>
      <c r="G243" s="18">
        <f>176638.94+98416.65+8506.06</f>
        <v>283561.64999999997</v>
      </c>
      <c r="H243" s="18">
        <f>1099.55+278509.98+224182.67</f>
        <v>503792.19999999995</v>
      </c>
      <c r="I243" s="18">
        <f>39088.57+1314748.8+29094.72</f>
        <v>1382932.09</v>
      </c>
      <c r="J243" s="18">
        <f>21108.48+28692.51</f>
        <v>49800.99</v>
      </c>
      <c r="K243" s="18">
        <f>127.26</f>
        <v>127.26</v>
      </c>
      <c r="L243" s="19">
        <f t="shared" si="4"/>
        <v>2906864.96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f>530829.2</f>
        <v>530829.19999999995</v>
      </c>
      <c r="G244" s="18">
        <f>173978.29</f>
        <v>173978.29</v>
      </c>
      <c r="H244" s="18">
        <f>679.4+117073.2+12628.75+215332.2</f>
        <v>345713.55</v>
      </c>
      <c r="I244" s="18">
        <f>122161.63</f>
        <v>122161.63</v>
      </c>
      <c r="J244" s="18">
        <f>3006.75</f>
        <v>3006.75</v>
      </c>
      <c r="K244" s="18">
        <f>446</f>
        <v>446</v>
      </c>
      <c r="L244" s="19">
        <f t="shared" si="4"/>
        <v>1176135.42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f>91332.89</f>
        <v>91332.89</v>
      </c>
      <c r="G245" s="18">
        <f>42931.32</f>
        <v>42931.32</v>
      </c>
      <c r="H245" s="18">
        <f>23807.24</f>
        <v>23807.24</v>
      </c>
      <c r="I245" s="18">
        <f>1854.03</f>
        <v>1854.03</v>
      </c>
      <c r="J245" s="18">
        <f>1661.73</f>
        <v>1661.73</v>
      </c>
      <c r="K245" s="18"/>
      <c r="L245" s="19">
        <f>SUM(F245:K245)</f>
        <v>161587.21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14049098.73</v>
      </c>
      <c r="G247" s="41">
        <f t="shared" si="5"/>
        <v>6178698.2400000002</v>
      </c>
      <c r="H247" s="41">
        <f t="shared" si="5"/>
        <v>2943034.9000000004</v>
      </c>
      <c r="I247" s="41">
        <f t="shared" si="5"/>
        <v>1884019.3500000003</v>
      </c>
      <c r="J247" s="41">
        <f t="shared" si="5"/>
        <v>127737.05</v>
      </c>
      <c r="K247" s="41">
        <f t="shared" si="5"/>
        <v>37600.11</v>
      </c>
      <c r="L247" s="41">
        <f t="shared" si="5"/>
        <v>25220188.380000003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f>214963.31</f>
        <v>214963.31</v>
      </c>
      <c r="G251" s="18">
        <f>49779.37+4002.85</f>
        <v>53782.22</v>
      </c>
      <c r="H251" s="18">
        <f>45404.25</f>
        <v>45404.25</v>
      </c>
      <c r="I251" s="18">
        <f>1720.44</f>
        <v>1720.44</v>
      </c>
      <c r="J251" s="18"/>
      <c r="K251" s="18">
        <f>5818.84</f>
        <v>5818.84</v>
      </c>
      <c r="L251" s="19">
        <f t="shared" si="6"/>
        <v>321689.06000000006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f>78674.34+28130.08+53194.74</f>
        <v>159999.16</v>
      </c>
      <c r="I255" s="18">
        <f>8619.2</f>
        <v>8619.2000000000007</v>
      </c>
      <c r="J255" s="18">
        <f>58031.1</f>
        <v>58031.1</v>
      </c>
      <c r="K255" s="18"/>
      <c r="L255" s="19">
        <f t="shared" si="6"/>
        <v>226649.46000000002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214963.31</v>
      </c>
      <c r="G256" s="41">
        <f t="shared" si="7"/>
        <v>53782.22</v>
      </c>
      <c r="H256" s="41">
        <f t="shared" si="7"/>
        <v>205403.41</v>
      </c>
      <c r="I256" s="41">
        <f t="shared" si="7"/>
        <v>10339.640000000001</v>
      </c>
      <c r="J256" s="41">
        <f t="shared" si="7"/>
        <v>58031.1</v>
      </c>
      <c r="K256" s="41">
        <f t="shared" si="7"/>
        <v>5818.84</v>
      </c>
      <c r="L256" s="41">
        <f>SUM(F256:K256)</f>
        <v>548338.52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38969316.75</v>
      </c>
      <c r="G257" s="41">
        <f t="shared" si="8"/>
        <v>16907798.060000002</v>
      </c>
      <c r="H257" s="41">
        <f t="shared" si="8"/>
        <v>6751849.870000001</v>
      </c>
      <c r="I257" s="41">
        <f t="shared" si="8"/>
        <v>3799099.5800000005</v>
      </c>
      <c r="J257" s="41">
        <f t="shared" si="8"/>
        <v>359733.36</v>
      </c>
      <c r="K257" s="41">
        <f t="shared" si="8"/>
        <v>66220.23</v>
      </c>
      <c r="L257" s="41">
        <f t="shared" si="8"/>
        <v>66854017.850000001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f>275000+2468450+26649.64</f>
        <v>2770099.64</v>
      </c>
      <c r="L260" s="19">
        <f>SUM(F260:K260)</f>
        <v>2770099.64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f>167494.25+2652142.5</f>
        <v>2819636.75</v>
      </c>
      <c r="L261" s="19">
        <f>SUM(F261:K261)</f>
        <v>2819636.75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100000</v>
      </c>
      <c r="L263" s="19">
        <f>SUM(F263:K263)</f>
        <v>100000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f>120182.26+1059939</f>
        <v>1180121.26</v>
      </c>
      <c r="L266" s="19">
        <f t="shared" si="9"/>
        <v>1180121.26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70437</v>
      </c>
      <c r="L268" s="19">
        <f t="shared" si="9"/>
        <v>70437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6940294.6500000004</v>
      </c>
      <c r="L270" s="41">
        <f t="shared" si="9"/>
        <v>6940294.6500000004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38969316.75</v>
      </c>
      <c r="G271" s="42">
        <f t="shared" si="11"/>
        <v>16907798.060000002</v>
      </c>
      <c r="H271" s="42">
        <f t="shared" si="11"/>
        <v>6751849.870000001</v>
      </c>
      <c r="I271" s="42">
        <f t="shared" si="11"/>
        <v>3799099.5800000005</v>
      </c>
      <c r="J271" s="42">
        <f t="shared" si="11"/>
        <v>359733.36</v>
      </c>
      <c r="K271" s="42">
        <f t="shared" si="11"/>
        <v>7006514.8800000008</v>
      </c>
      <c r="L271" s="42">
        <f t="shared" si="11"/>
        <v>73794312.5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482363.79+723.41</f>
        <v>483087.19999999995</v>
      </c>
      <c r="G276" s="18">
        <f>105863.5+21.73</f>
        <v>105885.23</v>
      </c>
      <c r="H276" s="18">
        <f>1280.13</f>
        <v>1280.1300000000001</v>
      </c>
      <c r="I276" s="18">
        <f>93062.71+5909.41</f>
        <v>98972.12000000001</v>
      </c>
      <c r="J276" s="18"/>
      <c r="K276" s="18">
        <f>459</f>
        <v>459</v>
      </c>
      <c r="L276" s="19">
        <f>SUM(F276:K276)</f>
        <v>689683.67999999993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478296.47+44194.04</f>
        <v>522490.50999999995</v>
      </c>
      <c r="G277" s="18">
        <f>207911.29+7198.52</f>
        <v>215109.81</v>
      </c>
      <c r="H277" s="18">
        <f>3426.27</f>
        <v>3426.27</v>
      </c>
      <c r="I277" s="18">
        <f>1264+1807.36</f>
        <v>3071.3599999999997</v>
      </c>
      <c r="J277" s="18"/>
      <c r="K277" s="18"/>
      <c r="L277" s="19">
        <f>SUM(F277:K277)</f>
        <v>744097.95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f>84661.87+132032.41</f>
        <v>216694.28</v>
      </c>
      <c r="G279" s="18">
        <f>13165.83+18094.29</f>
        <v>31260.120000000003</v>
      </c>
      <c r="H279" s="18">
        <f>200</f>
        <v>200</v>
      </c>
      <c r="I279" s="18">
        <f>17714.16+11956.84</f>
        <v>29671</v>
      </c>
      <c r="J279" s="18"/>
      <c r="K279" s="18"/>
      <c r="L279" s="19">
        <f>SUM(F279:K279)</f>
        <v>277825.40000000002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f>6267.5+4236.93+0+93700.44+696.44</f>
        <v>104901.31</v>
      </c>
      <c r="G281" s="18">
        <f>1080.11+956.3+0+19986.93+58.32</f>
        <v>22081.66</v>
      </c>
      <c r="H281" s="18">
        <f>20422.17+10833+1034.61</f>
        <v>32289.78</v>
      </c>
      <c r="I281" s="18">
        <f>12234.38+314.6</f>
        <v>12548.98</v>
      </c>
      <c r="J281" s="18"/>
      <c r="K281" s="18"/>
      <c r="L281" s="19">
        <f t="shared" ref="L281:L287" si="12">SUM(F281:K281)</f>
        <v>171821.73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400+52780.7+2093.88+762.5+62576.47</f>
        <v>118613.54999999999</v>
      </c>
      <c r="G282" s="18">
        <f>88.41+9571.89+392.04+63.85+13305</f>
        <v>23421.190000000002</v>
      </c>
      <c r="H282" s="18">
        <f>20488.2+1764.24+119138.24</f>
        <v>141390.68</v>
      </c>
      <c r="I282" s="18">
        <f>3220.83+1077.75+11126.09</f>
        <v>15424.67</v>
      </c>
      <c r="J282" s="18">
        <f>235671.81</f>
        <v>235671.81</v>
      </c>
      <c r="K282" s="18"/>
      <c r="L282" s="19">
        <f t="shared" si="12"/>
        <v>534521.89999999991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f>70862.5+42999.9</f>
        <v>113862.39999999999</v>
      </c>
      <c r="G283" s="18">
        <f>30025.81+20879.24</f>
        <v>50905.05</v>
      </c>
      <c r="H283" s="18">
        <f>63411.42+114332.76</f>
        <v>177744.18</v>
      </c>
      <c r="I283" s="18">
        <f>1363.17+2851.04</f>
        <v>4214.21</v>
      </c>
      <c r="J283" s="18">
        <f>590.64</f>
        <v>590.64</v>
      </c>
      <c r="K283" s="18"/>
      <c r="L283" s="19">
        <f t="shared" si="12"/>
        <v>347316.48000000004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27713.5</v>
      </c>
      <c r="I287" s="18"/>
      <c r="J287" s="18"/>
      <c r="K287" s="18"/>
      <c r="L287" s="19">
        <f t="shared" si="12"/>
        <v>27713.5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1559649.25</v>
      </c>
      <c r="G290" s="42">
        <f t="shared" si="13"/>
        <v>448663.05999999994</v>
      </c>
      <c r="H290" s="42">
        <f t="shared" si="13"/>
        <v>384044.54</v>
      </c>
      <c r="I290" s="42">
        <f t="shared" si="13"/>
        <v>163902.34000000003</v>
      </c>
      <c r="J290" s="42">
        <f t="shared" si="13"/>
        <v>236262.45</v>
      </c>
      <c r="K290" s="42">
        <f t="shared" si="13"/>
        <v>459</v>
      </c>
      <c r="L290" s="41">
        <f t="shared" si="13"/>
        <v>2792980.6399999997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f>30787.92+338.19</f>
        <v>31126.109999999997</v>
      </c>
      <c r="G295" s="18">
        <f>2577.97+10.16</f>
        <v>2588.1299999999997</v>
      </c>
      <c r="H295" s="18">
        <f>598.44</f>
        <v>598.44000000000005</v>
      </c>
      <c r="I295" s="18">
        <f>25831.8+2762.58</f>
        <v>28594.379999999997</v>
      </c>
      <c r="J295" s="18">
        <f>2939.63</f>
        <v>2939.63</v>
      </c>
      <c r="K295" s="18"/>
      <c r="L295" s="19">
        <f>SUM(F295:K295)</f>
        <v>65846.69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f>295106.42</f>
        <v>295106.42</v>
      </c>
      <c r="G296" s="18">
        <f>114014.92</f>
        <v>114014.92</v>
      </c>
      <c r="H296" s="18">
        <f>1536.39</f>
        <v>1536.39</v>
      </c>
      <c r="I296" s="18">
        <f>810.45</f>
        <v>810.45</v>
      </c>
      <c r="J296" s="18"/>
      <c r="K296" s="18"/>
      <c r="L296" s="19">
        <f>SUM(F296:K296)</f>
        <v>411468.18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f>39713+34666.25</f>
        <v>74379.25</v>
      </c>
      <c r="G298" s="18">
        <f>6846.44+5841.82</f>
        <v>12688.259999999998</v>
      </c>
      <c r="H298" s="18"/>
      <c r="I298" s="18">
        <f>1641.01+1578.01</f>
        <v>3219.02</v>
      </c>
      <c r="J298" s="18"/>
      <c r="K298" s="18"/>
      <c r="L298" s="19">
        <f>SUM(F298:K298)</f>
        <v>90286.53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f>37389.28+325.57</f>
        <v>37714.85</v>
      </c>
      <c r="G300" s="18">
        <f>10977.51+27.26</f>
        <v>11004.77</v>
      </c>
      <c r="H300" s="18">
        <f>280+483.67</f>
        <v>763.67000000000007</v>
      </c>
      <c r="I300" s="18">
        <f>147.07</f>
        <v>147.07</v>
      </c>
      <c r="J300" s="18"/>
      <c r="K300" s="18"/>
      <c r="L300" s="19">
        <f t="shared" ref="L300:L306" si="14">SUM(F300:K300)</f>
        <v>49630.359999999993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f>3000+25593.52</f>
        <v>28593.52</v>
      </c>
      <c r="G301" s="18">
        <f>1191.74+5441.69</f>
        <v>6633.4299999999994</v>
      </c>
      <c r="H301" s="18">
        <f>48727.04</f>
        <v>48727.040000000001</v>
      </c>
      <c r="I301" s="18">
        <f>4550.52</f>
        <v>4550.5200000000004</v>
      </c>
      <c r="J301" s="18">
        <f>96388.78</f>
        <v>96388.78</v>
      </c>
      <c r="K301" s="18"/>
      <c r="L301" s="19">
        <f t="shared" si="14"/>
        <v>184893.28999999998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f>20101.94</f>
        <v>20101.939999999999</v>
      </c>
      <c r="G302" s="18">
        <f>9760.79</f>
        <v>9760.7900000000009</v>
      </c>
      <c r="H302" s="18">
        <f>53449.19</f>
        <v>53449.19</v>
      </c>
      <c r="I302" s="18">
        <f>1332.83</f>
        <v>1332.83</v>
      </c>
      <c r="J302" s="18">
        <f>276.11</f>
        <v>276.11</v>
      </c>
      <c r="K302" s="18"/>
      <c r="L302" s="19">
        <f t="shared" si="14"/>
        <v>84920.86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>
        <v>14815.65</v>
      </c>
      <c r="I306" s="18"/>
      <c r="J306" s="18"/>
      <c r="K306" s="18"/>
      <c r="L306" s="19">
        <f t="shared" si="14"/>
        <v>14815.65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487022.08999999997</v>
      </c>
      <c r="G309" s="42">
        <f t="shared" si="15"/>
        <v>156690.29999999999</v>
      </c>
      <c r="H309" s="42">
        <f t="shared" si="15"/>
        <v>119890.38</v>
      </c>
      <c r="I309" s="42">
        <f t="shared" si="15"/>
        <v>38654.270000000004</v>
      </c>
      <c r="J309" s="42">
        <f t="shared" si="15"/>
        <v>99604.52</v>
      </c>
      <c r="K309" s="42">
        <f t="shared" si="15"/>
        <v>0</v>
      </c>
      <c r="L309" s="41">
        <f t="shared" si="15"/>
        <v>901861.56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f>588.9</f>
        <v>588.9</v>
      </c>
      <c r="G314" s="18">
        <f>17.69</f>
        <v>17.690000000000001</v>
      </c>
      <c r="H314" s="18">
        <f>1042.09</f>
        <v>1042.0899999999999</v>
      </c>
      <c r="I314" s="18">
        <f>1411.4+4810.58</f>
        <v>6221.98</v>
      </c>
      <c r="J314" s="18">
        <f>5067.33</f>
        <v>5067.33</v>
      </c>
      <c r="K314" s="18"/>
      <c r="L314" s="19">
        <f>SUM(F314:K314)</f>
        <v>12937.99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f>20136.6</f>
        <v>20136.599999999999</v>
      </c>
      <c r="G315" s="18">
        <f>5720.49</f>
        <v>5720.49</v>
      </c>
      <c r="H315" s="18">
        <f>2738.55</f>
        <v>2738.55</v>
      </c>
      <c r="I315" s="18">
        <f>3425+1444.59</f>
        <v>4869.59</v>
      </c>
      <c r="J315" s="18">
        <f>9213.79</f>
        <v>9213.7900000000009</v>
      </c>
      <c r="K315" s="18"/>
      <c r="L315" s="19">
        <f>SUM(F315:K315)</f>
        <v>42679.02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f>1860+3800+23444.72+82537.71</f>
        <v>111642.43000000001</v>
      </c>
      <c r="G316" s="18">
        <f>155.74+318.17+3149.19+12848.04</f>
        <v>16471.14</v>
      </c>
      <c r="H316" s="18">
        <f>21194.58</f>
        <v>21194.58</v>
      </c>
      <c r="I316" s="18">
        <f>6106.25+15634.56+18323.27</f>
        <v>40064.080000000002</v>
      </c>
      <c r="J316" s="18">
        <f>517.05+55819.41+42445.92</f>
        <v>98782.38</v>
      </c>
      <c r="K316" s="18">
        <f>12898.28</f>
        <v>12898.28</v>
      </c>
      <c r="L316" s="19">
        <f>SUM(F316:K316)</f>
        <v>301052.89000000007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f>2151.65+2800+16683.25</f>
        <v>21634.9</v>
      </c>
      <c r="G317" s="18">
        <f>409.12+234.42+2307.8</f>
        <v>2951.34</v>
      </c>
      <c r="H317" s="18"/>
      <c r="I317" s="18">
        <f>1300</f>
        <v>1300</v>
      </c>
      <c r="J317" s="18">
        <f>5603.99+3431.64</f>
        <v>9035.6299999999992</v>
      </c>
      <c r="K317" s="18"/>
      <c r="L317" s="19">
        <f>SUM(F317:K317)</f>
        <v>34921.870000000003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f>60404.6+10500+566.94</f>
        <v>71471.540000000008</v>
      </c>
      <c r="G319" s="18">
        <f>32293.59+47.47</f>
        <v>32341.06</v>
      </c>
      <c r="H319" s="18">
        <f>280.96+842.22</f>
        <v>1123.18</v>
      </c>
      <c r="I319" s="18">
        <f>256.1</f>
        <v>256.10000000000002</v>
      </c>
      <c r="J319" s="18"/>
      <c r="K319" s="18"/>
      <c r="L319" s="19">
        <f t="shared" ref="L319:L325" si="16">SUM(F319:K319)</f>
        <v>105191.88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f>22199.73+400+42743.13</f>
        <v>65342.86</v>
      </c>
      <c r="G320" s="18">
        <f>12521.28+92.45+9088.04</f>
        <v>21701.770000000004</v>
      </c>
      <c r="H320" s="18">
        <f>29520.26+5340.12+81377.89</f>
        <v>116238.26999999999</v>
      </c>
      <c r="I320" s="18">
        <f>8697.84+3020+7599.73</f>
        <v>19317.57</v>
      </c>
      <c r="J320" s="18">
        <f>160976.66</f>
        <v>160976.66</v>
      </c>
      <c r="K320" s="18">
        <f>175</f>
        <v>175</v>
      </c>
      <c r="L320" s="19">
        <f t="shared" si="16"/>
        <v>383752.13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f>35004.25</f>
        <v>35004.25</v>
      </c>
      <c r="G321" s="18">
        <f>16996.84</f>
        <v>16996.84</v>
      </c>
      <c r="H321" s="18">
        <f>93073.07</f>
        <v>93073.07</v>
      </c>
      <c r="I321" s="18">
        <f>2320.91</f>
        <v>2320.91</v>
      </c>
      <c r="J321" s="18">
        <f>480.81</f>
        <v>480.81</v>
      </c>
      <c r="K321" s="18"/>
      <c r="L321" s="19">
        <f t="shared" si="16"/>
        <v>147875.88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f>39122.45+50310.85</f>
        <v>89433.299999999988</v>
      </c>
      <c r="I325" s="18"/>
      <c r="J325" s="18"/>
      <c r="K325" s="18"/>
      <c r="L325" s="19">
        <f t="shared" si="16"/>
        <v>89433.299999999988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325821.48</v>
      </c>
      <c r="G328" s="42">
        <f t="shared" si="17"/>
        <v>96200.33</v>
      </c>
      <c r="H328" s="42">
        <f t="shared" si="17"/>
        <v>324843.03999999998</v>
      </c>
      <c r="I328" s="42">
        <f t="shared" si="17"/>
        <v>74350.23000000001</v>
      </c>
      <c r="J328" s="42">
        <f t="shared" si="17"/>
        <v>283556.60000000003</v>
      </c>
      <c r="K328" s="42">
        <f t="shared" si="17"/>
        <v>13073.28</v>
      </c>
      <c r="L328" s="41">
        <f t="shared" si="17"/>
        <v>1117844.96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f>88803.49</f>
        <v>88803.49</v>
      </c>
      <c r="G333" s="18">
        <f>13115.45</f>
        <v>13115.45</v>
      </c>
      <c r="H333" s="18">
        <f>35085.05</f>
        <v>35085.050000000003</v>
      </c>
      <c r="I333" s="18">
        <f>21187.34</f>
        <v>21187.34</v>
      </c>
      <c r="J333" s="18">
        <f>14412.56</f>
        <v>14412.56</v>
      </c>
      <c r="K333" s="18"/>
      <c r="L333" s="19">
        <f t="shared" si="18"/>
        <v>172603.88999999998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88803.49</v>
      </c>
      <c r="G337" s="41">
        <f t="shared" si="19"/>
        <v>13115.45</v>
      </c>
      <c r="H337" s="41">
        <f t="shared" si="19"/>
        <v>35085.050000000003</v>
      </c>
      <c r="I337" s="41">
        <f t="shared" si="19"/>
        <v>21187.34</v>
      </c>
      <c r="J337" s="41">
        <f t="shared" si="19"/>
        <v>14412.56</v>
      </c>
      <c r="K337" s="41">
        <f t="shared" si="19"/>
        <v>0</v>
      </c>
      <c r="L337" s="41">
        <f t="shared" si="18"/>
        <v>172603.88999999998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2461296.31</v>
      </c>
      <c r="G338" s="41">
        <f t="shared" si="20"/>
        <v>714669.13999999978</v>
      </c>
      <c r="H338" s="41">
        <f t="shared" si="20"/>
        <v>863863.01</v>
      </c>
      <c r="I338" s="41">
        <f t="shared" si="20"/>
        <v>298094.18000000011</v>
      </c>
      <c r="J338" s="41">
        <f t="shared" si="20"/>
        <v>633836.13000000012</v>
      </c>
      <c r="K338" s="41">
        <f t="shared" si="20"/>
        <v>13532.28</v>
      </c>
      <c r="L338" s="41">
        <f t="shared" si="20"/>
        <v>4985291.05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99295.360000000001</v>
      </c>
      <c r="L344" s="19">
        <f t="shared" ref="L344:L350" si="21">SUM(F344:K344)</f>
        <v>99295.360000000001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99295.360000000001</v>
      </c>
      <c r="L351" s="41">
        <f>SUM(L341:L350)</f>
        <v>99295.360000000001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2461296.31</v>
      </c>
      <c r="G352" s="41">
        <f>G338</f>
        <v>714669.13999999978</v>
      </c>
      <c r="H352" s="41">
        <f>H338</f>
        <v>863863.01</v>
      </c>
      <c r="I352" s="41">
        <f>I338</f>
        <v>298094.18000000011</v>
      </c>
      <c r="J352" s="41">
        <f>J338</f>
        <v>633836.13000000012</v>
      </c>
      <c r="K352" s="47">
        <f>K338+K351</f>
        <v>112827.64</v>
      </c>
      <c r="L352" s="41">
        <f>L338+L351</f>
        <v>5084586.41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224992.64+60077.62</f>
        <v>285070.26</v>
      </c>
      <c r="G358" s="18">
        <f>79352.85+20424.64</f>
        <v>99777.49</v>
      </c>
      <c r="H358" s="18">
        <f>12109.26+3378.27</f>
        <v>15487.53</v>
      </c>
      <c r="I358" s="18">
        <f>348801.58+47888.43</f>
        <v>396690.01</v>
      </c>
      <c r="J358" s="18">
        <f>4000</f>
        <v>4000</v>
      </c>
      <c r="K358" s="18">
        <f>15+641.93</f>
        <v>656.93</v>
      </c>
      <c r="L358" s="13">
        <f>SUM(F358:K358)</f>
        <v>801682.22000000009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f>98471.89+28085.57</f>
        <v>126557.45999999999</v>
      </c>
      <c r="G359" s="18">
        <f>31076.22+9548.28</f>
        <v>40624.5</v>
      </c>
      <c r="H359" s="18">
        <f>7165.94+1579.3</f>
        <v>8745.24</v>
      </c>
      <c r="I359" s="18">
        <f>162569.59+22387.27</f>
        <v>184956.86</v>
      </c>
      <c r="J359" s="18">
        <f>5469</f>
        <v>5469</v>
      </c>
      <c r="K359" s="18">
        <f>126.33+300.1</f>
        <v>426.43</v>
      </c>
      <c r="L359" s="19">
        <f>SUM(F359:K359)</f>
        <v>366779.48999999993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f>135504.95+48906.45</f>
        <v>184411.40000000002</v>
      </c>
      <c r="G360" s="18">
        <f>29698.18+16626.77</f>
        <v>46324.95</v>
      </c>
      <c r="H360" s="18">
        <f>10941.82+2750.1</f>
        <v>13691.92</v>
      </c>
      <c r="I360" s="18">
        <f>233891.86+38983.79</f>
        <v>272875.64999999997</v>
      </c>
      <c r="J360" s="18">
        <f>1671.68</f>
        <v>1671.68</v>
      </c>
      <c r="K360" s="18">
        <f>426.29+522.57</f>
        <v>948.86000000000013</v>
      </c>
      <c r="L360" s="19">
        <f>SUM(F360:K360)</f>
        <v>519924.46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596039.12</v>
      </c>
      <c r="G362" s="47">
        <f t="shared" si="22"/>
        <v>186726.94</v>
      </c>
      <c r="H362" s="47">
        <f t="shared" si="22"/>
        <v>37924.69</v>
      </c>
      <c r="I362" s="47">
        <f t="shared" si="22"/>
        <v>854522.52</v>
      </c>
      <c r="J362" s="47">
        <f t="shared" si="22"/>
        <v>11140.68</v>
      </c>
      <c r="K362" s="47">
        <f t="shared" si="22"/>
        <v>2032.22</v>
      </c>
      <c r="L362" s="47">
        <f t="shared" si="22"/>
        <v>1688386.17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3360.6+156661.09+34004.62+9422+45538.54+9772+10048.38+13164.86+10402.65+13623.51+10393.67+43521.01</f>
        <v>359912.93</v>
      </c>
      <c r="G367" s="18">
        <f>973.23+74176.47+13139.67+4991.55+17640.9+24125.2+15185.4+20345.55</f>
        <v>170577.97</v>
      </c>
      <c r="H367" s="18">
        <f>18613.05+35428.47</f>
        <v>54041.520000000004</v>
      </c>
      <c r="I367" s="56">
        <f>SUM(F367:H367)</f>
        <v>584532.42000000004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32409.66+4367.42</f>
        <v>36777.08</v>
      </c>
      <c r="G368" s="63">
        <f>12337.17+2041.72</f>
        <v>14378.89</v>
      </c>
      <c r="H368" s="63">
        <f>102482.19+23683.38+9681.86+15887.22+15844.8+26579.04+21120.32+3555.32</f>
        <v>218834.13</v>
      </c>
      <c r="I368" s="56">
        <f>SUM(F368:H368)</f>
        <v>269990.09999999998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396690.01</v>
      </c>
      <c r="G369" s="47">
        <f>SUM(G367:G368)</f>
        <v>184956.86</v>
      </c>
      <c r="H369" s="47">
        <f>SUM(H367:H368)</f>
        <v>272875.65000000002</v>
      </c>
      <c r="I369" s="47">
        <f>SUM(I367:I368)</f>
        <v>854522.52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>
        <f>12027.95</f>
        <v>12027.95</v>
      </c>
      <c r="K378" s="18"/>
      <c r="L378" s="13">
        <f t="shared" si="23"/>
        <v>12027.95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>
        <f>63980.86+2452.94</f>
        <v>66433.8</v>
      </c>
      <c r="I379" s="18">
        <f>841.5</f>
        <v>841.5</v>
      </c>
      <c r="J379" s="18"/>
      <c r="K379" s="18"/>
      <c r="L379" s="13">
        <f t="shared" si="23"/>
        <v>67275.3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>
        <f>10985+188.44</f>
        <v>11173.44</v>
      </c>
      <c r="I380" s="18">
        <f>7314.31</f>
        <v>7314.31</v>
      </c>
      <c r="J380" s="18">
        <f>55301.46+825</f>
        <v>56126.46</v>
      </c>
      <c r="K380" s="18"/>
      <c r="L380" s="13">
        <f t="shared" si="23"/>
        <v>74614.209999999992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>
        <v>800000</v>
      </c>
      <c r="L381" s="13">
        <f t="shared" si="23"/>
        <v>800000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77607.240000000005</v>
      </c>
      <c r="I382" s="41">
        <f t="shared" si="24"/>
        <v>8155.81</v>
      </c>
      <c r="J382" s="47">
        <f t="shared" si="24"/>
        <v>68154.41</v>
      </c>
      <c r="K382" s="47">
        <f t="shared" si="24"/>
        <v>800000</v>
      </c>
      <c r="L382" s="47">
        <f t="shared" si="24"/>
        <v>953917.46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f>1180121.26</f>
        <v>1180121.26</v>
      </c>
      <c r="H400" s="18">
        <f>8892.17+832.34</f>
        <v>9724.51</v>
      </c>
      <c r="I400" s="18">
        <f>114476.06</f>
        <v>114476.06</v>
      </c>
      <c r="J400" s="24" t="s">
        <v>289</v>
      </c>
      <c r="K400" s="24" t="s">
        <v>289</v>
      </c>
      <c r="L400" s="56">
        <f t="shared" si="26"/>
        <v>1304321.83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1180121.26</v>
      </c>
      <c r="H401" s="47">
        <f>SUM(H395:H400)</f>
        <v>9724.51</v>
      </c>
      <c r="I401" s="47">
        <f>SUM(I395:I400)</f>
        <v>114476.06</v>
      </c>
      <c r="J401" s="45" t="s">
        <v>289</v>
      </c>
      <c r="K401" s="45" t="s">
        <v>289</v>
      </c>
      <c r="L401" s="47">
        <f>SUM(L395:L400)</f>
        <v>1304321.83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1180121.26</v>
      </c>
      <c r="H408" s="47">
        <f>H393+H401+H407</f>
        <v>9724.51</v>
      </c>
      <c r="I408" s="47">
        <f>I393+I401+I407</f>
        <v>114476.06</v>
      </c>
      <c r="J408" s="24" t="s">
        <v>289</v>
      </c>
      <c r="K408" s="24" t="s">
        <v>289</v>
      </c>
      <c r="L408" s="47">
        <f>L393+L401+L407</f>
        <v>1304321.83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>
        <v>325654.31</v>
      </c>
      <c r="L426" s="56">
        <f t="shared" si="29"/>
        <v>325654.31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325654.31</v>
      </c>
      <c r="L427" s="47">
        <f t="shared" si="30"/>
        <v>325654.31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>
        <v>11740.75</v>
      </c>
      <c r="I429" s="18"/>
      <c r="J429" s="18"/>
      <c r="K429" s="18"/>
      <c r="L429" s="56">
        <f>SUM(F429:K429)</f>
        <v>11740.75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11740.75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11740.75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11740.75</v>
      </c>
      <c r="I434" s="47">
        <f t="shared" si="32"/>
        <v>0</v>
      </c>
      <c r="J434" s="47">
        <f t="shared" si="32"/>
        <v>0</v>
      </c>
      <c r="K434" s="47">
        <f t="shared" si="32"/>
        <v>325654.31</v>
      </c>
      <c r="L434" s="47">
        <f t="shared" si="32"/>
        <v>337395.06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f>4531001.21+436943.89</f>
        <v>4967945.0999999996</v>
      </c>
      <c r="H440" s="18"/>
      <c r="I440" s="56">
        <f t="shared" si="33"/>
        <v>4967945.0999999996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>
        <f>-1797634.2+93749.4</f>
        <v>-1703884.8</v>
      </c>
      <c r="H441" s="18"/>
      <c r="I441" s="56">
        <f t="shared" si="33"/>
        <v>-1703884.8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3264060.3</v>
      </c>
      <c r="H446" s="13">
        <f>SUM(H439:H445)</f>
        <v>0</v>
      </c>
      <c r="I446" s="13">
        <f>SUM(I439:I445)</f>
        <v>3264060.3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>
        <f>-1804632.92+93890.15</f>
        <v>-1710742.77</v>
      </c>
      <c r="H448" s="18"/>
      <c r="I448" s="56">
        <f>SUM(F448:H448)</f>
        <v>-1710742.77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-1710742.77</v>
      </c>
      <c r="H452" s="72">
        <f>SUM(H448:H451)</f>
        <v>0</v>
      </c>
      <c r="I452" s="72">
        <f>SUM(I448:I451)</f>
        <v>-1710742.77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>
        <v>9850</v>
      </c>
      <c r="H454" s="18"/>
      <c r="I454" s="56">
        <f t="shared" ref="I454:I459" si="34">SUM(F454:H454)</f>
        <v>9850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f>4537999.93+426953.14</f>
        <v>4964953.0699999994</v>
      </c>
      <c r="H459" s="18"/>
      <c r="I459" s="56">
        <f t="shared" si="34"/>
        <v>4964953.0699999994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4974803.0699999994</v>
      </c>
      <c r="H460" s="83">
        <f>SUM(H454:H459)</f>
        <v>0</v>
      </c>
      <c r="I460" s="83">
        <f>SUM(I454:I459)</f>
        <v>4974803.0699999994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3264060.2999999993</v>
      </c>
      <c r="H461" s="42">
        <f>H452+H460</f>
        <v>0</v>
      </c>
      <c r="I461" s="42">
        <f>I452+I460</f>
        <v>3264060.2999999993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f>5632995.17-2976754.34</f>
        <v>2656240.83</v>
      </c>
      <c r="G465" s="18">
        <v>1713.15</v>
      </c>
      <c r="H465" s="18">
        <f>492982.62-9970232.98+8008196.59+1734707.17</f>
        <v>265653.39999999851</v>
      </c>
      <c r="I465" s="18">
        <f>7840977.49+192366533.74-199146761.78-159153.27</f>
        <v>901596.18000001786</v>
      </c>
      <c r="J465" s="18">
        <f>3674640.81+333235.49</f>
        <v>4007876.3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74252334.379999995</v>
      </c>
      <c r="G468" s="18">
        <v>1711463.01</v>
      </c>
      <c r="H468" s="18">
        <v>6133406.29</v>
      </c>
      <c r="I468" s="18">
        <v>76137.84</v>
      </c>
      <c r="J468" s="18">
        <f>1189013.43+115308.4</f>
        <v>1304321.8299999998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74252334.379999995</v>
      </c>
      <c r="G470" s="53">
        <f>SUM(G468:G469)</f>
        <v>1711463.01</v>
      </c>
      <c r="H470" s="53">
        <f>SUM(H468:H469)</f>
        <v>6133406.29</v>
      </c>
      <c r="I470" s="53">
        <f>SUM(I468:I469)</f>
        <v>76137.84</v>
      </c>
      <c r="J470" s="53">
        <f>SUM(J468:J469)</f>
        <v>1304321.8299999998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73794312.5</v>
      </c>
      <c r="G472" s="18">
        <v>1688386.17</v>
      </c>
      <c r="H472" s="18">
        <v>5084586.41</v>
      </c>
      <c r="I472" s="18">
        <v>953917.46</v>
      </c>
      <c r="J472" s="18">
        <f>325654.31+11740.75</f>
        <v>337395.06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73794312.5</v>
      </c>
      <c r="G474" s="53">
        <f>SUM(G472:G473)</f>
        <v>1688386.17</v>
      </c>
      <c r="H474" s="53">
        <f>SUM(H472:H473)</f>
        <v>5084586.41</v>
      </c>
      <c r="I474" s="53">
        <f>SUM(I472:I473)</f>
        <v>953917.46</v>
      </c>
      <c r="J474" s="53">
        <f>SUM(J472:J473)</f>
        <v>337395.06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3114262.7099999934</v>
      </c>
      <c r="G476" s="53">
        <f>(G465+G470)- G474</f>
        <v>24789.989999999991</v>
      </c>
      <c r="H476" s="53">
        <f>(H465+H470)- H474</f>
        <v>1314473.2799999984</v>
      </c>
      <c r="I476" s="53">
        <f>(I465+I470)- I474</f>
        <v>23816.560000017867</v>
      </c>
      <c r="J476" s="53">
        <f>(J465+J470)- J474</f>
        <v>4974803.07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33198041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 t="s">
        <v>914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52720035</v>
      </c>
      <c r="G495" s="18"/>
      <c r="H495" s="18"/>
      <c r="I495" s="18"/>
      <c r="J495" s="18"/>
      <c r="K495" s="53">
        <f>SUM(F495:J495)</f>
        <v>52720035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2743450</v>
      </c>
      <c r="G497" s="18"/>
      <c r="H497" s="18"/>
      <c r="I497" s="18"/>
      <c r="J497" s="18"/>
      <c r="K497" s="53">
        <f t="shared" si="35"/>
        <v>2743450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49976585</v>
      </c>
      <c r="G498" s="204"/>
      <c r="H498" s="204"/>
      <c r="I498" s="204"/>
      <c r="J498" s="204"/>
      <c r="K498" s="205">
        <f t="shared" si="35"/>
        <v>49976585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24290834.07-(2846286.39-914794.13)</f>
        <v>22359341.809999999</v>
      </c>
      <c r="G499" s="18"/>
      <c r="H499" s="18"/>
      <c r="I499" s="18"/>
      <c r="J499" s="18"/>
      <c r="K499" s="53">
        <f t="shared" si="35"/>
        <v>22359341.809999999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72335926.810000002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72335926.810000002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2321585</v>
      </c>
      <c r="G501" s="204"/>
      <c r="H501" s="204"/>
      <c r="I501" s="204"/>
      <c r="J501" s="204"/>
      <c r="K501" s="205">
        <f t="shared" si="35"/>
        <v>2321585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f>2720255.7-900106.38</f>
        <v>1820149.3200000003</v>
      </c>
      <c r="G502" s="18"/>
      <c r="H502" s="18"/>
      <c r="I502" s="18"/>
      <c r="J502" s="18"/>
      <c r="K502" s="53">
        <f t="shared" si="35"/>
        <v>1820149.3200000003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4141734.3200000003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4141734.3200000003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4074084.17</v>
      </c>
      <c r="G521" s="18">
        <v>1440001.74</v>
      </c>
      <c r="H521" s="18">
        <v>758007.79</v>
      </c>
      <c r="I521" s="18">
        <v>22268.73</v>
      </c>
      <c r="J521" s="18">
        <v>741.47</v>
      </c>
      <c r="K521" s="18"/>
      <c r="L521" s="88">
        <f>SUM(F521:K521)</f>
        <v>6295103.9000000004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1550234.96</v>
      </c>
      <c r="G522" s="18">
        <v>574184.48</v>
      </c>
      <c r="H522" s="18">
        <v>680228.57</v>
      </c>
      <c r="I522" s="18">
        <v>7504.3</v>
      </c>
      <c r="J522" s="18">
        <v>332.49</v>
      </c>
      <c r="K522" s="18"/>
      <c r="L522" s="88">
        <f>SUM(F522:K522)</f>
        <v>2812484.8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2845698.15</v>
      </c>
      <c r="G523" s="18">
        <v>1154300.74</v>
      </c>
      <c r="H523" s="18">
        <v>1092800.46</v>
      </c>
      <c r="I523" s="18">
        <v>22782</v>
      </c>
      <c r="J523" s="18">
        <v>9806.43</v>
      </c>
      <c r="K523" s="18">
        <v>385</v>
      </c>
      <c r="L523" s="88">
        <f>SUM(F523:K523)</f>
        <v>5125772.7799999993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8470017.2799999993</v>
      </c>
      <c r="G524" s="108">
        <f t="shared" ref="G524:L524" si="36">SUM(G521:G523)</f>
        <v>3168486.96</v>
      </c>
      <c r="H524" s="108">
        <f t="shared" si="36"/>
        <v>2531036.8199999998</v>
      </c>
      <c r="I524" s="108">
        <f t="shared" si="36"/>
        <v>52555.03</v>
      </c>
      <c r="J524" s="108">
        <f t="shared" si="36"/>
        <v>10880.39</v>
      </c>
      <c r="K524" s="108">
        <f t="shared" si="36"/>
        <v>385</v>
      </c>
      <c r="L524" s="89">
        <f t="shared" si="36"/>
        <v>14233361.479999999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1217195.55</v>
      </c>
      <c r="G526" s="18">
        <v>451958.46</v>
      </c>
      <c r="H526" s="18">
        <v>180632.12</v>
      </c>
      <c r="I526" s="18">
        <v>36028.480000000003</v>
      </c>
      <c r="J526" s="18">
        <v>259.58</v>
      </c>
      <c r="K526" s="18"/>
      <c r="L526" s="88">
        <f>SUM(F526:K526)</f>
        <v>1886074.19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236790.61</v>
      </c>
      <c r="G527" s="18">
        <v>89044.66</v>
      </c>
      <c r="H527" s="18">
        <v>25385.72</v>
      </c>
      <c r="I527" s="18">
        <v>4792</v>
      </c>
      <c r="J527" s="18">
        <v>116.4</v>
      </c>
      <c r="K527" s="18"/>
      <c r="L527" s="88">
        <f>SUM(F527:K527)</f>
        <v>356129.39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450936.92</v>
      </c>
      <c r="G528" s="18">
        <v>176695.9</v>
      </c>
      <c r="H528" s="18">
        <v>51101.52</v>
      </c>
      <c r="I528" s="18">
        <v>7845.86</v>
      </c>
      <c r="J528" s="18">
        <v>207.47</v>
      </c>
      <c r="K528" s="18"/>
      <c r="L528" s="88">
        <f>SUM(F528:K528)</f>
        <v>686787.66999999993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1904923.08</v>
      </c>
      <c r="G529" s="89">
        <f t="shared" ref="G529:L529" si="37">SUM(G526:G528)</f>
        <v>717699.02</v>
      </c>
      <c r="H529" s="89">
        <f t="shared" si="37"/>
        <v>257119.35999999999</v>
      </c>
      <c r="I529" s="89">
        <f t="shared" si="37"/>
        <v>48666.340000000004</v>
      </c>
      <c r="J529" s="89">
        <f t="shared" si="37"/>
        <v>583.45000000000005</v>
      </c>
      <c r="K529" s="89">
        <f t="shared" si="37"/>
        <v>0</v>
      </c>
      <c r="L529" s="89">
        <f t="shared" si="37"/>
        <v>2928991.25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52227.56</v>
      </c>
      <c r="G531" s="18">
        <v>16024.01</v>
      </c>
      <c r="H531" s="18"/>
      <c r="I531" s="18"/>
      <c r="J531" s="18"/>
      <c r="K531" s="18"/>
      <c r="L531" s="88">
        <f>SUM(F531:K531)</f>
        <v>68251.569999999992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23419.64</v>
      </c>
      <c r="G532" s="18">
        <v>7185.41</v>
      </c>
      <c r="H532" s="18"/>
      <c r="I532" s="18"/>
      <c r="J532" s="18"/>
      <c r="K532" s="18"/>
      <c r="L532" s="88">
        <f>SUM(F532:K532)</f>
        <v>30605.05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41744.480000000003</v>
      </c>
      <c r="G533" s="18">
        <v>12807.69</v>
      </c>
      <c r="H533" s="18"/>
      <c r="I533" s="18"/>
      <c r="J533" s="18"/>
      <c r="K533" s="18"/>
      <c r="L533" s="88">
        <f>SUM(F533:K533)</f>
        <v>54552.170000000006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117391.67999999999</v>
      </c>
      <c r="G534" s="89">
        <f t="shared" ref="G534:L534" si="38">SUM(G531:G533)</f>
        <v>36017.11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153408.79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2106.9</v>
      </c>
      <c r="I536" s="18"/>
      <c r="J536" s="18"/>
      <c r="K536" s="18"/>
      <c r="L536" s="88">
        <f>SUM(F536:K536)</f>
        <v>2106.9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944.76</v>
      </c>
      <c r="I537" s="18"/>
      <c r="J537" s="18"/>
      <c r="K537" s="18"/>
      <c r="L537" s="88">
        <f>SUM(F537:K537)</f>
        <v>944.76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1684</v>
      </c>
      <c r="I538" s="18"/>
      <c r="J538" s="18"/>
      <c r="K538" s="18"/>
      <c r="L538" s="88">
        <f>SUM(F538:K538)</f>
        <v>1684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4735.66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4735.66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272706.76</v>
      </c>
      <c r="G541" s="18">
        <v>88625.2</v>
      </c>
      <c r="H541" s="18">
        <v>162917.21</v>
      </c>
      <c r="I541" s="18"/>
      <c r="J541" s="18"/>
      <c r="K541" s="18">
        <v>142.25</v>
      </c>
      <c r="L541" s="88">
        <f>SUM(F541:K541)</f>
        <v>524391.42000000004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127487.14</v>
      </c>
      <c r="G542" s="18">
        <v>41431.22</v>
      </c>
      <c r="H542" s="18">
        <v>76161.850000000006</v>
      </c>
      <c r="I542" s="18"/>
      <c r="J542" s="18"/>
      <c r="K542" s="18">
        <v>66.5</v>
      </c>
      <c r="L542" s="88">
        <f>SUM(F542:K542)</f>
        <v>245146.71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221998.11</v>
      </c>
      <c r="G543" s="18">
        <v>72145.73</v>
      </c>
      <c r="H543" s="18">
        <v>132623.45000000001</v>
      </c>
      <c r="I543" s="18"/>
      <c r="J543" s="18"/>
      <c r="K543" s="18">
        <v>115.8</v>
      </c>
      <c r="L543" s="88">
        <f>SUM(F543:K543)</f>
        <v>426883.08999999997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622192.01</v>
      </c>
      <c r="G544" s="193">
        <f t="shared" ref="G544:L544" si="40">SUM(G541:G543)</f>
        <v>202202.15</v>
      </c>
      <c r="H544" s="193">
        <f t="shared" si="40"/>
        <v>371702.51</v>
      </c>
      <c r="I544" s="193">
        <f t="shared" si="40"/>
        <v>0</v>
      </c>
      <c r="J544" s="193">
        <f t="shared" si="40"/>
        <v>0</v>
      </c>
      <c r="K544" s="193">
        <f t="shared" si="40"/>
        <v>324.55</v>
      </c>
      <c r="L544" s="193">
        <f t="shared" si="40"/>
        <v>1196421.22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11114524.049999999</v>
      </c>
      <c r="G545" s="89">
        <f t="shared" ref="G545:L545" si="41">G524+G529+G534+G539+G544</f>
        <v>4124405.2399999998</v>
      </c>
      <c r="H545" s="89">
        <f t="shared" si="41"/>
        <v>3164594.3499999996</v>
      </c>
      <c r="I545" s="89">
        <f t="shared" si="41"/>
        <v>101221.37</v>
      </c>
      <c r="J545" s="89">
        <f t="shared" si="41"/>
        <v>11463.84</v>
      </c>
      <c r="K545" s="89">
        <f t="shared" si="41"/>
        <v>709.55</v>
      </c>
      <c r="L545" s="89">
        <f t="shared" si="41"/>
        <v>18516918.399999995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6295103.9000000004</v>
      </c>
      <c r="G549" s="87">
        <f>L526</f>
        <v>1886074.19</v>
      </c>
      <c r="H549" s="87">
        <f>L531</f>
        <v>68251.569999999992</v>
      </c>
      <c r="I549" s="87">
        <f>L536</f>
        <v>2106.9</v>
      </c>
      <c r="J549" s="87">
        <f>L541</f>
        <v>524391.42000000004</v>
      </c>
      <c r="K549" s="87">
        <f>SUM(F549:J549)</f>
        <v>8775927.9800000004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2812484.8</v>
      </c>
      <c r="G550" s="87">
        <f>L527</f>
        <v>356129.39</v>
      </c>
      <c r="H550" s="87">
        <f>L532</f>
        <v>30605.05</v>
      </c>
      <c r="I550" s="87">
        <f>L537</f>
        <v>944.76</v>
      </c>
      <c r="J550" s="87">
        <f>L542</f>
        <v>245146.71</v>
      </c>
      <c r="K550" s="87">
        <f>SUM(F550:J550)</f>
        <v>3445310.7099999995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5125772.7799999993</v>
      </c>
      <c r="G551" s="87">
        <f>L528</f>
        <v>686787.66999999993</v>
      </c>
      <c r="H551" s="87">
        <f>L533</f>
        <v>54552.170000000006</v>
      </c>
      <c r="I551" s="87">
        <f>L538</f>
        <v>1684</v>
      </c>
      <c r="J551" s="87">
        <f>L543</f>
        <v>426883.08999999997</v>
      </c>
      <c r="K551" s="87">
        <f>SUM(F551:J551)</f>
        <v>6295679.709999999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14233361.479999999</v>
      </c>
      <c r="G552" s="89">
        <f t="shared" si="42"/>
        <v>2928991.25</v>
      </c>
      <c r="H552" s="89">
        <f t="shared" si="42"/>
        <v>153408.79</v>
      </c>
      <c r="I552" s="89">
        <f t="shared" si="42"/>
        <v>4735.66</v>
      </c>
      <c r="J552" s="89">
        <f t="shared" si="42"/>
        <v>1196421.22</v>
      </c>
      <c r="K552" s="89">
        <f t="shared" si="42"/>
        <v>18516918.399999999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f>272814.05</f>
        <v>272814.05</v>
      </c>
      <c r="G562" s="18">
        <f>92587.64</f>
        <v>92587.64</v>
      </c>
      <c r="H562" s="18">
        <f>3156.29+19280.79</f>
        <v>22437.08</v>
      </c>
      <c r="I562" s="18">
        <f>4366.7</f>
        <v>4366.7</v>
      </c>
      <c r="J562" s="18"/>
      <c r="K562" s="18"/>
      <c r="L562" s="88">
        <f>SUM(F562:K562)</f>
        <v>392205.47000000003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f>124748.17</f>
        <v>124748.17</v>
      </c>
      <c r="G563" s="18">
        <f>44315.56</f>
        <v>44315.56</v>
      </c>
      <c r="H563" s="18">
        <f>1475.53+4170.3</f>
        <v>5645.83</v>
      </c>
      <c r="I563" s="18">
        <f>1170.68</f>
        <v>1170.68</v>
      </c>
      <c r="J563" s="18"/>
      <c r="K563" s="18"/>
      <c r="L563" s="88">
        <f>SUM(F563:K563)</f>
        <v>175880.23999999996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f>251716.64</f>
        <v>251716.64</v>
      </c>
      <c r="G564" s="18">
        <f>105357.61</f>
        <v>105357.61</v>
      </c>
      <c r="H564" s="18">
        <f>2569.39+4968.11</f>
        <v>7537.5</v>
      </c>
      <c r="I564" s="18">
        <f>9346.06</f>
        <v>9346.06</v>
      </c>
      <c r="J564" s="18">
        <f>9213.79</f>
        <v>9213.7900000000009</v>
      </c>
      <c r="K564" s="18"/>
      <c r="L564" s="88">
        <f>SUM(F564:K564)</f>
        <v>383171.6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649278.86</v>
      </c>
      <c r="G565" s="89">
        <f t="shared" si="44"/>
        <v>242260.81</v>
      </c>
      <c r="H565" s="89">
        <f t="shared" si="44"/>
        <v>35620.410000000003</v>
      </c>
      <c r="I565" s="89">
        <f t="shared" si="44"/>
        <v>14883.439999999999</v>
      </c>
      <c r="J565" s="89">
        <f t="shared" si="44"/>
        <v>9213.7900000000009</v>
      </c>
      <c r="K565" s="89">
        <f t="shared" si="44"/>
        <v>0</v>
      </c>
      <c r="L565" s="89">
        <f t="shared" si="44"/>
        <v>951257.30999999994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649278.86</v>
      </c>
      <c r="G571" s="89">
        <f t="shared" ref="G571:L571" si="46">G560+G565+G570</f>
        <v>242260.81</v>
      </c>
      <c r="H571" s="89">
        <f t="shared" si="46"/>
        <v>35620.410000000003</v>
      </c>
      <c r="I571" s="89">
        <f t="shared" si="46"/>
        <v>14883.439999999999</v>
      </c>
      <c r="J571" s="89">
        <f t="shared" si="46"/>
        <v>9213.7900000000009</v>
      </c>
      <c r="K571" s="89">
        <f t="shared" si="46"/>
        <v>0</v>
      </c>
      <c r="L571" s="89">
        <f t="shared" si="46"/>
        <v>951257.30999999994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165030.67000000001</v>
      </c>
      <c r="G582" s="18">
        <v>563680.09</v>
      </c>
      <c r="H582" s="18">
        <v>1048422.8</v>
      </c>
      <c r="I582" s="87">
        <f t="shared" si="47"/>
        <v>1777133.56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732276.56</v>
      </c>
      <c r="I591" s="18">
        <v>342330.52</v>
      </c>
      <c r="J591" s="18">
        <f>596112.87-0.01</f>
        <v>596112.86</v>
      </c>
      <c r="K591" s="104">
        <f t="shared" ref="K591:K597" si="48">SUM(H591:J591)</f>
        <v>1670719.94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524391.42000000004</v>
      </c>
      <c r="I592" s="18">
        <v>245146.71</v>
      </c>
      <c r="J592" s="18">
        <v>426883.09</v>
      </c>
      <c r="K592" s="104">
        <f t="shared" si="48"/>
        <v>1196421.22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>
        <v>2356.6999999999998</v>
      </c>
      <c r="I593" s="18">
        <v>1101.72</v>
      </c>
      <c r="J593" s="18">
        <v>2597.87</v>
      </c>
      <c r="K593" s="104">
        <f t="shared" si="48"/>
        <v>6056.29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5322.87</v>
      </c>
      <c r="I594" s="18">
        <v>28124.98</v>
      </c>
      <c r="J594" s="18">
        <v>121406.3</v>
      </c>
      <c r="K594" s="104">
        <f t="shared" si="48"/>
        <v>154854.15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3657.85</v>
      </c>
      <c r="I595" s="18">
        <v>9716.09</v>
      </c>
      <c r="J595" s="18">
        <v>14811.84</v>
      </c>
      <c r="K595" s="104">
        <f t="shared" si="48"/>
        <v>28185.78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>
        <v>1747.2</v>
      </c>
      <c r="I596" s="18">
        <v>816.79</v>
      </c>
      <c r="J596" s="18">
        <v>1422.31</v>
      </c>
      <c r="K596" s="104">
        <f t="shared" si="48"/>
        <v>3986.2999999999997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35847.300000000003</v>
      </c>
      <c r="I597" s="18">
        <v>7408.75</v>
      </c>
      <c r="J597" s="18">
        <v>12901.15</v>
      </c>
      <c r="K597" s="104">
        <f t="shared" si="48"/>
        <v>56157.200000000004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1305599.9000000001</v>
      </c>
      <c r="I598" s="108">
        <f>SUM(I591:I597)</f>
        <v>634645.55999999994</v>
      </c>
      <c r="J598" s="108">
        <f>SUM(J591:J597)</f>
        <v>1176135.42</v>
      </c>
      <c r="K598" s="108">
        <f>SUM(K591:K597)</f>
        <v>3116380.88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323253.89</v>
      </c>
      <c r="I604" s="18">
        <v>186578.29</v>
      </c>
      <c r="J604" s="18">
        <v>425706.21</v>
      </c>
      <c r="K604" s="104">
        <f>SUM(H604:J604)</f>
        <v>935538.39000000013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323253.89</v>
      </c>
      <c r="I605" s="108">
        <f>SUM(I602:I604)</f>
        <v>186578.29</v>
      </c>
      <c r="J605" s="108">
        <f>SUM(J602:J604)</f>
        <v>425706.21</v>
      </c>
      <c r="K605" s="108">
        <f>SUM(K602:K604)</f>
        <v>935538.39000000013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103904235.78999999</v>
      </c>
      <c r="H617" s="109">
        <f>SUM(F52)</f>
        <v>103904235.78999999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7036184.1199999992</v>
      </c>
      <c r="H618" s="109">
        <f>SUM(G52)</f>
        <v>7036184.1200000001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32338531.280000001</v>
      </c>
      <c r="H619" s="109">
        <f>SUM(H52)</f>
        <v>32338531.280000001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65101173.5</v>
      </c>
      <c r="H620" s="109">
        <f>SUM(I52)</f>
        <v>65101173.5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3264060.3</v>
      </c>
      <c r="H621" s="109">
        <f>SUM(J52)</f>
        <v>3264060.2999999993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3114262.71</v>
      </c>
      <c r="H622" s="109">
        <f>F476</f>
        <v>3114262.7099999934</v>
      </c>
      <c r="I622" s="121" t="s">
        <v>101</v>
      </c>
      <c r="J622" s="109">
        <f t="shared" ref="J622:J655" si="50">G622-H622</f>
        <v>6.5192580223083496E-9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24789.989999999998</v>
      </c>
      <c r="H623" s="109">
        <f>G476</f>
        <v>24789.989999999991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1314473.2800000014</v>
      </c>
      <c r="H624" s="109">
        <f>H476</f>
        <v>1314473.2799999984</v>
      </c>
      <c r="I624" s="121" t="s">
        <v>103</v>
      </c>
      <c r="J624" s="109">
        <f t="shared" si="50"/>
        <v>3.0267983675003052E-9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23816.560000005971</v>
      </c>
      <c r="H625" s="109">
        <f>I476</f>
        <v>23816.560000017867</v>
      </c>
      <c r="I625" s="121" t="s">
        <v>104</v>
      </c>
      <c r="J625" s="109">
        <f t="shared" si="50"/>
        <v>-1.1896190699189901E-8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4974803.0699999994</v>
      </c>
      <c r="H626" s="109">
        <f>J476</f>
        <v>4974803.07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74252334.38000001</v>
      </c>
      <c r="H627" s="104">
        <f>SUM(F468)</f>
        <v>74252334.379999995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1711463.01</v>
      </c>
      <c r="H628" s="104">
        <f>SUM(G468)</f>
        <v>1711463.01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6133406.290000001</v>
      </c>
      <c r="H629" s="104">
        <f>SUM(H468)</f>
        <v>6133406.29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76137.84</v>
      </c>
      <c r="H630" s="104">
        <f>SUM(I468)</f>
        <v>76137.84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1304321.83</v>
      </c>
      <c r="H631" s="104">
        <f>SUM(J468)</f>
        <v>1304321.8299999998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73794312.5</v>
      </c>
      <c r="H632" s="104">
        <f>SUM(F472)</f>
        <v>73794312.5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5084586.41</v>
      </c>
      <c r="H633" s="104">
        <f>SUM(H472)</f>
        <v>5084586.41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854522.52</v>
      </c>
      <c r="H634" s="104">
        <f>I369</f>
        <v>854522.52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1688386.17</v>
      </c>
      <c r="H635" s="104">
        <f>SUM(G472)</f>
        <v>1688386.17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953917.46</v>
      </c>
      <c r="H636" s="104">
        <f>SUM(I472)</f>
        <v>953917.46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1304321.83</v>
      </c>
      <c r="H637" s="164">
        <f>SUM(J468)</f>
        <v>1304321.8299999998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337395.06</v>
      </c>
      <c r="H638" s="164">
        <f>SUM(J472)</f>
        <v>337395.06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3264060.3</v>
      </c>
      <c r="H640" s="104">
        <f>SUM(G461)</f>
        <v>3264060.2999999993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3264060.3</v>
      </c>
      <c r="H642" s="104">
        <f>SUM(I461)</f>
        <v>3264060.2999999993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9724.51</v>
      </c>
      <c r="H644" s="104">
        <f>H408</f>
        <v>9724.51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1180121.26</v>
      </c>
      <c r="H645" s="104">
        <f>G408</f>
        <v>1180121.26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1304321.83</v>
      </c>
      <c r="H646" s="104">
        <f>L408</f>
        <v>1304321.83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3116380.88</v>
      </c>
      <c r="H647" s="104">
        <f>L208+L226+L244</f>
        <v>3116380.88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935538.39000000013</v>
      </c>
      <c r="H648" s="104">
        <f>(J257+J338)-(J255+J336)</f>
        <v>935538.39000000013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1305599.8999999999</v>
      </c>
      <c r="H649" s="104">
        <f>H598</f>
        <v>1305599.9000000001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634645.55999999994</v>
      </c>
      <c r="H650" s="104">
        <f>I598</f>
        <v>634645.55999999994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1176135.42</v>
      </c>
      <c r="H651" s="104">
        <f>J598</f>
        <v>1176135.42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100000</v>
      </c>
      <c r="H652" s="104">
        <f>K263+K345</f>
        <v>100000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1180121.26</v>
      </c>
      <c r="H655" s="104">
        <f>K266+K347</f>
        <v>1180121.26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30984372.709999997</v>
      </c>
      <c r="G660" s="19">
        <f>(L229+L309+L359)</f>
        <v>14964422.149999999</v>
      </c>
      <c r="H660" s="19">
        <f>(L247+L328+L360)</f>
        <v>26857957.800000004</v>
      </c>
      <c r="I660" s="19">
        <f>SUM(F660:H660)</f>
        <v>72806752.659999996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282534.18780118652</v>
      </c>
      <c r="G661" s="19">
        <f>(L359/IF(SUM(L358:L360)=0,1,SUM(L358:L360))*(SUM(G97:G110)))</f>
        <v>129262.87090324066</v>
      </c>
      <c r="H661" s="19">
        <f>(L360/IF(SUM(L358:L360)=0,1,SUM(L358:L360))*(SUM(G97:G110)))</f>
        <v>183235.24129557278</v>
      </c>
      <c r="I661" s="19">
        <f>SUM(F661:H661)</f>
        <v>595032.30000000005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1329619.8399999999</v>
      </c>
      <c r="G662" s="19">
        <f>(L226+L306)-(J226+J306)</f>
        <v>647734.52</v>
      </c>
      <c r="H662" s="19">
        <f>(L244+L325)-(J244+J325)</f>
        <v>1262561.97</v>
      </c>
      <c r="I662" s="19">
        <f>SUM(F662:H662)</f>
        <v>3239916.33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488284.56000000006</v>
      </c>
      <c r="G663" s="199">
        <f>SUM(G575:G587)+SUM(I602:I604)+L612</f>
        <v>750258.38</v>
      </c>
      <c r="H663" s="199">
        <f>SUM(H575:H587)+SUM(J602:J604)+L613</f>
        <v>1474129.01</v>
      </c>
      <c r="I663" s="19">
        <f>SUM(F663:H663)</f>
        <v>2712671.95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28883934.122198813</v>
      </c>
      <c r="G664" s="19">
        <f>G660-SUM(G661:G663)</f>
        <v>13437166.379096758</v>
      </c>
      <c r="H664" s="19">
        <f>H660-SUM(H661:H663)</f>
        <v>23938031.578704432</v>
      </c>
      <c r="I664" s="19">
        <f>I660-SUM(I661:I663)</f>
        <v>66259132.079999998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1841.56</v>
      </c>
      <c r="G665" s="248">
        <v>955.91</v>
      </c>
      <c r="H665" s="248">
        <v>1676.63</v>
      </c>
      <c r="I665" s="19">
        <f>SUM(F665:H665)</f>
        <v>4474.1000000000004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15684.49</v>
      </c>
      <c r="G667" s="19">
        <f>ROUND(G664/G665,2)</f>
        <v>14056.94</v>
      </c>
      <c r="H667" s="19">
        <f>ROUND(H664/H665,2)</f>
        <v>14277.47</v>
      </c>
      <c r="I667" s="19">
        <f>ROUND(I664/I665,2)</f>
        <v>14809.49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108.39</v>
      </c>
      <c r="I670" s="19">
        <f>SUM(F670:H670)</f>
        <v>108.39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15684.49</v>
      </c>
      <c r="G672" s="19">
        <f>ROUND((G664+G669)/(G665+G670),2)</f>
        <v>14056.94</v>
      </c>
      <c r="H672" s="19">
        <f>ROUND((H664+H669)/(H665+H670),2)</f>
        <v>13410.51</v>
      </c>
      <c r="I672" s="19">
        <f>ROUND((I664+I669)/(I665+I670),2)</f>
        <v>14459.2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0" workbookViewId="0">
      <selection activeCell="I41" sqref="I4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Concord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18790299.989999998</v>
      </c>
      <c r="C9" s="229">
        <f>'DOE25'!G197+'DOE25'!G215+'DOE25'!G233+'DOE25'!G276+'DOE25'!G295+'DOE25'!G314</f>
        <v>8385804.7700000005</v>
      </c>
    </row>
    <row r="10" spans="1:3" x14ac:dyDescent="0.2">
      <c r="A10" t="s">
        <v>779</v>
      </c>
      <c r="B10" s="240">
        <v>18358767.18</v>
      </c>
      <c r="C10" s="240">
        <f>B10/B9*C9</f>
        <v>8193218.7070613913</v>
      </c>
    </row>
    <row r="11" spans="1:3" x14ac:dyDescent="0.2">
      <c r="A11" t="s">
        <v>780</v>
      </c>
      <c r="B11" s="240"/>
      <c r="C11" s="240">
        <f>B11/B9*C9</f>
        <v>0</v>
      </c>
    </row>
    <row r="12" spans="1:3" x14ac:dyDescent="0.2">
      <c r="A12" t="s">
        <v>781</v>
      </c>
      <c r="B12" s="240">
        <f>B9-B10-B11</f>
        <v>431532.80999999866</v>
      </c>
      <c r="C12" s="240">
        <f>B12/B9*C9</f>
        <v>192586.06293860945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18790299.989999998</v>
      </c>
      <c r="C13" s="231">
        <f>SUM(C10:C12)</f>
        <v>8385804.7700000005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8470017.2799999993</v>
      </c>
      <c r="C18" s="229">
        <f>'DOE25'!G198+'DOE25'!G216+'DOE25'!G234+'DOE25'!G277+'DOE25'!G296+'DOE25'!G315</f>
        <v>3301018.93</v>
      </c>
    </row>
    <row r="19" spans="1:3" x14ac:dyDescent="0.2">
      <c r="A19" t="s">
        <v>779</v>
      </c>
      <c r="B19" s="240">
        <v>4673421.75</v>
      </c>
      <c r="C19" s="240">
        <f>B19/B18*C18</f>
        <v>1821372.1595410642</v>
      </c>
    </row>
    <row r="20" spans="1:3" x14ac:dyDescent="0.2">
      <c r="A20" t="s">
        <v>780</v>
      </c>
      <c r="B20" s="240">
        <v>3267833.85</v>
      </c>
      <c r="C20" s="240">
        <f>B20/B18*C18</f>
        <v>1273572.537380323</v>
      </c>
    </row>
    <row r="21" spans="1:3" x14ac:dyDescent="0.2">
      <c r="A21" t="s">
        <v>781</v>
      </c>
      <c r="B21" s="240">
        <f>B18-B19-B20</f>
        <v>528761.67999999924</v>
      </c>
      <c r="C21" s="240">
        <f>B21/B18*C18</f>
        <v>206074.23307861303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8470017.2799999993</v>
      </c>
      <c r="C22" s="231">
        <f>SUM(C19:C21)</f>
        <v>3301018.93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843076.4800000001</v>
      </c>
      <c r="C27" s="234">
        <f>'DOE25'!G199+'DOE25'!G217+'DOE25'!G235+'DOE25'!G278+'DOE25'!G297+'DOE25'!G316</f>
        <v>359147.81</v>
      </c>
    </row>
    <row r="28" spans="1:3" x14ac:dyDescent="0.2">
      <c r="A28" t="s">
        <v>779</v>
      </c>
      <c r="B28" s="240">
        <v>357639.26</v>
      </c>
      <c r="C28" s="240">
        <f>B28/B27*C27</f>
        <v>152353.14950195336</v>
      </c>
    </row>
    <row r="29" spans="1:3" x14ac:dyDescent="0.2">
      <c r="A29" t="s">
        <v>780</v>
      </c>
      <c r="B29" s="240">
        <v>13189.54</v>
      </c>
      <c r="C29" s="240">
        <f>B29/B27*C27</f>
        <v>5618.7006971270266</v>
      </c>
    </row>
    <row r="30" spans="1:3" x14ac:dyDescent="0.2">
      <c r="A30" t="s">
        <v>781</v>
      </c>
      <c r="B30" s="240">
        <f>B27-B28-B29</f>
        <v>472247.68000000011</v>
      </c>
      <c r="C30" s="240">
        <f>B30/B27*C27</f>
        <v>201175.95980091963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843076.4800000001</v>
      </c>
      <c r="C31" s="231">
        <f>SUM(C28:C30)</f>
        <v>359147.81000000006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871558.53</v>
      </c>
      <c r="C36" s="235">
        <f>'DOE25'!G200+'DOE25'!G218+'DOE25'!G236+'DOE25'!G279+'DOE25'!G298+'DOE25'!G317</f>
        <v>188682.05000000002</v>
      </c>
    </row>
    <row r="37" spans="1:3" x14ac:dyDescent="0.2">
      <c r="A37" t="s">
        <v>779</v>
      </c>
      <c r="B37" s="240"/>
      <c r="C37" s="240">
        <f>B37/B36*C36</f>
        <v>0</v>
      </c>
    </row>
    <row r="38" spans="1:3" x14ac:dyDescent="0.2">
      <c r="A38" t="s">
        <v>780</v>
      </c>
      <c r="B38" s="240"/>
      <c r="C38" s="240">
        <f>B38/B36*C36</f>
        <v>0</v>
      </c>
    </row>
    <row r="39" spans="1:3" x14ac:dyDescent="0.2">
      <c r="A39" t="s">
        <v>781</v>
      </c>
      <c r="B39" s="240">
        <f>B36-B37-B38</f>
        <v>871558.53</v>
      </c>
      <c r="C39" s="240">
        <f>B39/B36*C36</f>
        <v>188682.05000000002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871558.53</v>
      </c>
      <c r="C40" s="231">
        <f>SUM(C37:C39)</f>
        <v>188682.05000000002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Concord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42893247.420000002</v>
      </c>
      <c r="D5" s="20">
        <f>SUM('DOE25'!L197:L200)+SUM('DOE25'!L215:L218)+SUM('DOE25'!L233:L236)-F5-G5</f>
        <v>42730058.270000003</v>
      </c>
      <c r="E5" s="243"/>
      <c r="F5" s="255">
        <f>SUM('DOE25'!J197:J200)+SUM('DOE25'!J215:J218)+SUM('DOE25'!J233:J236)</f>
        <v>136342.85</v>
      </c>
      <c r="G5" s="53">
        <f>SUM('DOE25'!K197:K200)+SUM('DOE25'!K215:K218)+SUM('DOE25'!K233:K236)</f>
        <v>26846.3</v>
      </c>
      <c r="H5" s="259"/>
    </row>
    <row r="6" spans="1:9" x14ac:dyDescent="0.2">
      <c r="A6" s="32">
        <v>2100</v>
      </c>
      <c r="B6" t="s">
        <v>801</v>
      </c>
      <c r="C6" s="245">
        <f t="shared" si="0"/>
        <v>5190093.1300000008</v>
      </c>
      <c r="D6" s="20">
        <f>'DOE25'!L202+'DOE25'!L220+'DOE25'!L238-F6-G6</f>
        <v>5188997.7600000007</v>
      </c>
      <c r="E6" s="243"/>
      <c r="F6" s="255">
        <f>'DOE25'!J202+'DOE25'!J220+'DOE25'!J238</f>
        <v>672.87</v>
      </c>
      <c r="G6" s="53">
        <f>'DOE25'!K202+'DOE25'!K220+'DOE25'!K238</f>
        <v>422.5</v>
      </c>
      <c r="H6" s="259"/>
    </row>
    <row r="7" spans="1:9" x14ac:dyDescent="0.2">
      <c r="A7" s="32">
        <v>2200</v>
      </c>
      <c r="B7" t="s">
        <v>834</v>
      </c>
      <c r="C7" s="245">
        <f t="shared" si="0"/>
        <v>3173888.9700000007</v>
      </c>
      <c r="D7" s="20">
        <f>'DOE25'!L203+'DOE25'!L221+'DOE25'!L239-F7-G7</f>
        <v>3154133.6900000004</v>
      </c>
      <c r="E7" s="243"/>
      <c r="F7" s="255">
        <f>'DOE25'!J203+'DOE25'!J221+'DOE25'!J239</f>
        <v>18418.97</v>
      </c>
      <c r="G7" s="53">
        <f>'DOE25'!K203+'DOE25'!K221+'DOE25'!K239</f>
        <v>1336.31</v>
      </c>
      <c r="H7" s="259"/>
    </row>
    <row r="8" spans="1:9" x14ac:dyDescent="0.2">
      <c r="A8" s="32">
        <v>2300</v>
      </c>
      <c r="B8" t="s">
        <v>802</v>
      </c>
      <c r="C8" s="245">
        <f t="shared" si="0"/>
        <v>375519.38</v>
      </c>
      <c r="D8" s="243"/>
      <c r="E8" s="20">
        <f>'DOE25'!L204+'DOE25'!L222+'DOE25'!L240-F8-G8-D9-D11</f>
        <v>364728.84</v>
      </c>
      <c r="F8" s="255">
        <f>'DOE25'!J204+'DOE25'!J222+'DOE25'!J240</f>
        <v>1784.1</v>
      </c>
      <c r="G8" s="53">
        <f>'DOE25'!K204+'DOE25'!K222+'DOE25'!K240</f>
        <v>9006.44</v>
      </c>
      <c r="H8" s="259"/>
    </row>
    <row r="9" spans="1:9" x14ac:dyDescent="0.2">
      <c r="A9" s="32">
        <v>2310</v>
      </c>
      <c r="B9" t="s">
        <v>818</v>
      </c>
      <c r="C9" s="245">
        <f t="shared" si="0"/>
        <v>19258.79</v>
      </c>
      <c r="D9" s="244">
        <v>19258.79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44800</v>
      </c>
      <c r="D10" s="243"/>
      <c r="E10" s="244">
        <v>44800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514391.05</v>
      </c>
      <c r="D11" s="244">
        <f>137000+49664.85+52327+33736.22+120272+46323.7+43072.8+31994.48</f>
        <v>514391.05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3444037.5200000005</v>
      </c>
      <c r="D12" s="20">
        <f>'DOE25'!L205+'DOE25'!L223+'DOE25'!L241-F12-G12</f>
        <v>3420948.6400000006</v>
      </c>
      <c r="E12" s="243"/>
      <c r="F12" s="255">
        <f>'DOE25'!J205+'DOE25'!J223+'DOE25'!J241</f>
        <v>4351.04</v>
      </c>
      <c r="G12" s="53">
        <f>'DOE25'!K205+'DOE25'!K223+'DOE25'!K241</f>
        <v>18737.84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639167</v>
      </c>
      <c r="D13" s="243"/>
      <c r="E13" s="20">
        <f>'DOE25'!L206+'DOE25'!L224+'DOE25'!L242-F13-G13</f>
        <v>633322.98</v>
      </c>
      <c r="F13" s="255">
        <f>'DOE25'!J206+'DOE25'!J224+'DOE25'!J242</f>
        <v>3344.0199999999995</v>
      </c>
      <c r="G13" s="53">
        <f>'DOE25'!K206+'DOE25'!K224+'DOE25'!K242</f>
        <v>2500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6444787.9799999995</v>
      </c>
      <c r="D14" s="20">
        <f>'DOE25'!L207+'DOE25'!L225+'DOE25'!L243-F14-G14</f>
        <v>6321214.1099999994</v>
      </c>
      <c r="E14" s="243"/>
      <c r="F14" s="255">
        <f>'DOE25'!J207+'DOE25'!J225+'DOE25'!J243</f>
        <v>123271.87</v>
      </c>
      <c r="G14" s="53">
        <f>'DOE25'!K207+'DOE25'!K225+'DOE25'!K243</f>
        <v>302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3116380.88</v>
      </c>
      <c r="D15" s="20">
        <f>'DOE25'!L208+'DOE25'!L226+'DOE25'!L244-F15-G15</f>
        <v>3106703.88</v>
      </c>
      <c r="E15" s="243"/>
      <c r="F15" s="255">
        <f>'DOE25'!J208+'DOE25'!J226+'DOE25'!J244</f>
        <v>8427</v>
      </c>
      <c r="G15" s="53">
        <f>'DOE25'!K208+'DOE25'!K226+'DOE25'!K244</f>
        <v>1250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494907.20999999996</v>
      </c>
      <c r="D16" s="243"/>
      <c r="E16" s="20">
        <f>'DOE25'!L209+'DOE25'!L227+'DOE25'!L245-F16-G16</f>
        <v>489817.67</v>
      </c>
      <c r="F16" s="255">
        <f>'DOE25'!J209+'DOE25'!J227+'DOE25'!J245</f>
        <v>5089.5400000000009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321689.06000000006</v>
      </c>
      <c r="D17" s="20">
        <f>'DOE25'!L251-F17-G17</f>
        <v>315870.22000000003</v>
      </c>
      <c r="E17" s="243"/>
      <c r="F17" s="255">
        <f>'DOE25'!J251</f>
        <v>0</v>
      </c>
      <c r="G17" s="53">
        <f>'DOE25'!K251</f>
        <v>5818.84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226649.46000000002</v>
      </c>
      <c r="D22" s="243"/>
      <c r="E22" s="243"/>
      <c r="F22" s="255">
        <f>'DOE25'!L255+'DOE25'!L336</f>
        <v>226649.46000000002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5589736.3900000006</v>
      </c>
      <c r="D25" s="243"/>
      <c r="E25" s="243"/>
      <c r="F25" s="258"/>
      <c r="G25" s="256"/>
      <c r="H25" s="257">
        <f>'DOE25'!L260+'DOE25'!L261+'DOE25'!L341+'DOE25'!L342</f>
        <v>5589736.3900000006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1103853.75</v>
      </c>
      <c r="D29" s="20">
        <f>'DOE25'!L358+'DOE25'!L359+'DOE25'!L360-'DOE25'!I367-F29-G29</f>
        <v>1090680.8500000001</v>
      </c>
      <c r="E29" s="243"/>
      <c r="F29" s="255">
        <f>'DOE25'!J358+'DOE25'!J359+'DOE25'!J360</f>
        <v>11140.68</v>
      </c>
      <c r="G29" s="53">
        <f>'DOE25'!K358+'DOE25'!K359+'DOE25'!K360</f>
        <v>2032.22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4985291.05</v>
      </c>
      <c r="D31" s="20">
        <f>'DOE25'!L290+'DOE25'!L309+'DOE25'!L328+'DOE25'!L333+'DOE25'!L334+'DOE25'!L335-F31-G31</f>
        <v>4337922.6399999997</v>
      </c>
      <c r="E31" s="243"/>
      <c r="F31" s="255">
        <f>'DOE25'!J290+'DOE25'!J309+'DOE25'!J328+'DOE25'!J333+'DOE25'!J334+'DOE25'!J335</f>
        <v>633836.13000000012</v>
      </c>
      <c r="G31" s="53">
        <f>'DOE25'!K290+'DOE25'!K309+'DOE25'!K328+'DOE25'!K333+'DOE25'!K334+'DOE25'!K335</f>
        <v>13532.28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70200179.899999991</v>
      </c>
      <c r="E33" s="246">
        <f>SUM(E5:E31)</f>
        <v>1532669.49</v>
      </c>
      <c r="F33" s="246">
        <f>SUM(F5:F31)</f>
        <v>1173328.5300000003</v>
      </c>
      <c r="G33" s="246">
        <f>SUM(G5:G31)</f>
        <v>81784.73</v>
      </c>
      <c r="H33" s="246">
        <f>SUM(H5:H31)</f>
        <v>5589736.3900000006</v>
      </c>
    </row>
    <row r="35" spans="2:8" ht="12" thickBot="1" x14ac:dyDescent="0.25">
      <c r="B35" s="253" t="s">
        <v>847</v>
      </c>
      <c r="D35" s="254">
        <f>E33</f>
        <v>1532669.49</v>
      </c>
      <c r="E35" s="249"/>
    </row>
    <row r="36" spans="2:8" ht="12" thickTop="1" x14ac:dyDescent="0.2">
      <c r="B36" t="s">
        <v>815</v>
      </c>
      <c r="D36" s="20">
        <f>D33</f>
        <v>70200179.899999991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132" activePane="bottomLeft" state="frozen"/>
      <selection activeCell="F46" sqref="F46"/>
      <selection pane="bottomLeft" activeCell="E88" sqref="E8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Concord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1857242.72</v>
      </c>
      <c r="D8" s="95">
        <f>'DOE25'!G9</f>
        <v>28235.59</v>
      </c>
      <c r="E8" s="95">
        <f>'DOE25'!H9</f>
        <v>-200340.99</v>
      </c>
      <c r="F8" s="95">
        <f>'DOE25'!I9</f>
        <v>191166.04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1333366.56</v>
      </c>
      <c r="F9" s="95">
        <f>'DOE25'!I10</f>
        <v>26493.09</v>
      </c>
      <c r="G9" s="95">
        <f>'DOE25'!J10</f>
        <v>4967945.0999999996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101629026.44</v>
      </c>
      <c r="D11" s="95">
        <f>'DOE25'!G12</f>
        <v>6883404.0099999998</v>
      </c>
      <c r="E11" s="95">
        <f>'DOE25'!H12</f>
        <v>30110185.390000001</v>
      </c>
      <c r="F11" s="95">
        <f>'DOE25'!I12</f>
        <v>64883514.369999997</v>
      </c>
      <c r="G11" s="95">
        <f>'DOE25'!J12</f>
        <v>-1703884.8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317876.92</v>
      </c>
      <c r="D13" s="95">
        <f>'DOE25'!G14</f>
        <v>73183.89</v>
      </c>
      <c r="E13" s="95">
        <f>'DOE25'!H14</f>
        <v>1095320.32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3789.71</v>
      </c>
      <c r="D15" s="95">
        <f>'DOE25'!G16</f>
        <v>51360.63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96300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103904235.78999999</v>
      </c>
      <c r="D18" s="41">
        <f>SUM(D8:D17)</f>
        <v>7036184.1199999992</v>
      </c>
      <c r="E18" s="41">
        <f>SUM(E8:E17)</f>
        <v>32338531.280000001</v>
      </c>
      <c r="F18" s="41">
        <f>SUM(F8:F17)</f>
        <v>65101173.5</v>
      </c>
      <c r="G18" s="41">
        <f>SUM(G8:G17)</f>
        <v>3264060.3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100459703.13</v>
      </c>
      <c r="D21" s="95">
        <f>'DOE25'!G22</f>
        <v>6962913.3399999999</v>
      </c>
      <c r="E21" s="95">
        <f>'DOE25'!H22</f>
        <v>31012794.800000001</v>
      </c>
      <c r="F21" s="95">
        <f>'DOE25'!I22</f>
        <v>65077356.939999998</v>
      </c>
      <c r="G21" s="95">
        <f>'DOE25'!J22</f>
        <v>-1710742.77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134873.94</v>
      </c>
      <c r="D27" s="95">
        <f>'DOE25'!G28</f>
        <v>17649.95</v>
      </c>
      <c r="E27" s="95">
        <f>'DOE25'!H28</f>
        <v>468.62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177057.25</v>
      </c>
      <c r="D28" s="95">
        <f>'DOE25'!G29</f>
        <v>30830.84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18338.759999999998</v>
      </c>
      <c r="D29" s="95">
        <f>'DOE25'!G30</f>
        <v>0</v>
      </c>
      <c r="E29" s="95">
        <f>'DOE25'!H30</f>
        <v>10794.58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100789973.08</v>
      </c>
      <c r="D31" s="41">
        <f>SUM(D21:D30)</f>
        <v>7011394.1299999999</v>
      </c>
      <c r="E31" s="41">
        <f>SUM(E21:E30)</f>
        <v>31024058</v>
      </c>
      <c r="F31" s="41">
        <f>SUM(F21:F30)</f>
        <v>65077356.939999998</v>
      </c>
      <c r="G31" s="41">
        <f>SUM(G21:G30)</f>
        <v>-1710742.77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714498.41</v>
      </c>
      <c r="D44" s="95">
        <f>'DOE25'!G45</f>
        <v>8321.01</v>
      </c>
      <c r="E44" s="95">
        <f>'DOE25'!H45</f>
        <v>295399.5</v>
      </c>
      <c r="F44" s="95">
        <f>'DOE25'!I45</f>
        <v>50640.43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3789.85</v>
      </c>
      <c r="D47" s="95">
        <f>'DOE25'!G48</f>
        <v>16468.98</v>
      </c>
      <c r="E47" s="95">
        <f>'DOE25'!H48</f>
        <v>1019073.7800000014</v>
      </c>
      <c r="F47" s="95">
        <f>'DOE25'!I48</f>
        <v>-26823.869999994029</v>
      </c>
      <c r="G47" s="95">
        <f>'DOE25'!J48</f>
        <v>4964953.0699999994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9850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2395974.4500000002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3114262.71</v>
      </c>
      <c r="D50" s="41">
        <f>SUM(D34:D49)</f>
        <v>24789.989999999998</v>
      </c>
      <c r="E50" s="41">
        <f>SUM(E34:E49)</f>
        <v>1314473.2800000014</v>
      </c>
      <c r="F50" s="41">
        <f>SUM(F34:F49)</f>
        <v>23816.560000005971</v>
      </c>
      <c r="G50" s="41">
        <f>SUM(G34:G49)</f>
        <v>4974803.0699999994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103904235.78999999</v>
      </c>
      <c r="D51" s="41">
        <f>D50+D31</f>
        <v>7036184.1200000001</v>
      </c>
      <c r="E51" s="41">
        <f>E50+E31</f>
        <v>32338531.280000001</v>
      </c>
      <c r="F51" s="41">
        <f>F50+F31</f>
        <v>65101173.5</v>
      </c>
      <c r="G51" s="41">
        <f>G50+G31</f>
        <v>3264060.2999999993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42432398.68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3404647.95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221530.51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10929.98</v>
      </c>
      <c r="D59" s="95">
        <f>'DOE25'!G96</f>
        <v>12.77</v>
      </c>
      <c r="E59" s="95">
        <f>'DOE25'!H96</f>
        <v>24.16</v>
      </c>
      <c r="F59" s="95">
        <f>'DOE25'!I96</f>
        <v>614.65</v>
      </c>
      <c r="G59" s="95">
        <f>'DOE25'!J96</f>
        <v>9724.51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591986.94999999995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493118</v>
      </c>
      <c r="D61" s="95">
        <f>SUM('DOE25'!G98:G110)</f>
        <v>3045.35</v>
      </c>
      <c r="E61" s="95">
        <f>SUM('DOE25'!H98:H110)</f>
        <v>103990.44</v>
      </c>
      <c r="F61" s="95">
        <f>SUM('DOE25'!I98:I110)</f>
        <v>0</v>
      </c>
      <c r="G61" s="95">
        <f>SUM('DOE25'!J98:J110)</f>
        <v>114476.06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4130226.44</v>
      </c>
      <c r="D62" s="130">
        <f>SUM(D57:D61)</f>
        <v>595045.06999999995</v>
      </c>
      <c r="E62" s="130">
        <f>SUM(E57:E61)</f>
        <v>104014.6</v>
      </c>
      <c r="F62" s="130">
        <f>SUM(F57:F61)</f>
        <v>614.65</v>
      </c>
      <c r="G62" s="130">
        <f>SUM(G57:G61)</f>
        <v>124200.56999999999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46562625.119999997</v>
      </c>
      <c r="D63" s="22">
        <f>D56+D62</f>
        <v>595045.06999999995</v>
      </c>
      <c r="E63" s="22">
        <f>E56+E62</f>
        <v>104014.6</v>
      </c>
      <c r="F63" s="22">
        <f>F56+F62</f>
        <v>614.65</v>
      </c>
      <c r="G63" s="22">
        <f>G56+G62</f>
        <v>124200.56999999999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12812824.300000001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8792619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29114.23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21634557.530000001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1395508.27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395945.99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1083780.52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20962.3</v>
      </c>
      <c r="E77" s="95">
        <f>SUM('DOE25'!H131:H135)</f>
        <v>201259.09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2875234.7800000003</v>
      </c>
      <c r="D78" s="130">
        <f>SUM(D72:D77)</f>
        <v>20962.3</v>
      </c>
      <c r="E78" s="130">
        <f>SUM(E72:E77)</f>
        <v>201259.09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24509792.310000002</v>
      </c>
      <c r="D81" s="130">
        <f>SUM(D79:D80)+D78+D70</f>
        <v>20962.3</v>
      </c>
      <c r="E81" s="130">
        <f>SUM(E79:E80)+E78+E70</f>
        <v>201259.09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850282.6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1180207.8700000001</v>
      </c>
      <c r="D88" s="95">
        <f>SUM('DOE25'!G153:G161)</f>
        <v>995455.64</v>
      </c>
      <c r="E88" s="95">
        <f>SUM('DOE25'!H153:H161)</f>
        <v>4200698.3000000007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2030490.4700000002</v>
      </c>
      <c r="D91" s="131">
        <f>SUM(D85:D90)</f>
        <v>995455.64</v>
      </c>
      <c r="E91" s="131">
        <f>SUM(E85:E90)</f>
        <v>4200698.3000000007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100000</v>
      </c>
      <c r="E96" s="95">
        <f>'DOE25'!H179</f>
        <v>0</v>
      </c>
      <c r="F96" s="95">
        <f>'DOE25'!I179</f>
        <v>0</v>
      </c>
      <c r="G96" s="95">
        <f>'DOE25'!J179</f>
        <v>1180121.26</v>
      </c>
    </row>
    <row r="97" spans="1:7" x14ac:dyDescent="0.2">
      <c r="A97" t="s">
        <v>758</v>
      </c>
      <c r="B97" s="32" t="s">
        <v>188</v>
      </c>
      <c r="C97" s="95">
        <f>SUM('DOE25'!F180:F181)</f>
        <v>99295.360000000001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1050131.1200000001</v>
      </c>
      <c r="D100" s="95">
        <f>SUM('DOE25'!G186:G187)</f>
        <v>0</v>
      </c>
      <c r="E100" s="95">
        <f>SUM('DOE25'!H186:H187)</f>
        <v>0</v>
      </c>
      <c r="F100" s="95">
        <f>SUM('DOE25'!I186:I187)</f>
        <v>75523.19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1627434.3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1149426.4800000002</v>
      </c>
      <c r="D103" s="86">
        <f>SUM(D93:D102)</f>
        <v>100000</v>
      </c>
      <c r="E103" s="86">
        <f>SUM(E93:E102)</f>
        <v>1627434.3</v>
      </c>
      <c r="F103" s="86">
        <f>SUM(F93:F102)</f>
        <v>75523.19</v>
      </c>
      <c r="G103" s="86">
        <f>SUM(G93:G102)</f>
        <v>1180121.26</v>
      </c>
    </row>
    <row r="104" spans="1:7" ht="12.75" thickTop="1" thickBot="1" x14ac:dyDescent="0.25">
      <c r="A104" s="33" t="s">
        <v>765</v>
      </c>
      <c r="C104" s="86">
        <f>C63+C81+C91+C103</f>
        <v>74252334.38000001</v>
      </c>
      <c r="D104" s="86">
        <f>D63+D81+D91+D103</f>
        <v>1711463.01</v>
      </c>
      <c r="E104" s="86">
        <f>E63+E81+E91+E103</f>
        <v>6133406.290000001</v>
      </c>
      <c r="F104" s="86">
        <f>F63+F81+F91+F103</f>
        <v>76137.84</v>
      </c>
      <c r="G104" s="86">
        <f>G63+G81+G103</f>
        <v>1304321.83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27722725.759999998</v>
      </c>
      <c r="D109" s="24" t="s">
        <v>289</v>
      </c>
      <c r="E109" s="95">
        <f>('DOE25'!L276)+('DOE25'!L295)+('DOE25'!L314)</f>
        <v>768468.35999999987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13101946.960000001</v>
      </c>
      <c r="D110" s="24" t="s">
        <v>289</v>
      </c>
      <c r="E110" s="95">
        <f>('DOE25'!L277)+('DOE25'!L296)+('DOE25'!L315)</f>
        <v>1198245.1499999999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1143052.97</v>
      </c>
      <c r="D111" s="24" t="s">
        <v>289</v>
      </c>
      <c r="E111" s="95">
        <f>('DOE25'!L278)+('DOE25'!L297)+('DOE25'!L316)</f>
        <v>301052.89000000007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925521.73</v>
      </c>
      <c r="D112" s="24" t="s">
        <v>289</v>
      </c>
      <c r="E112" s="95">
        <f>+('DOE25'!L279)+('DOE25'!L298)+('DOE25'!L317)</f>
        <v>403033.80000000005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321689.06000000006</v>
      </c>
      <c r="D114" s="24" t="s">
        <v>289</v>
      </c>
      <c r="E114" s="95">
        <f>+ SUM('DOE25'!L333:L335)</f>
        <v>172603.88999999998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43214936.479999997</v>
      </c>
      <c r="D115" s="86">
        <f>SUM(D109:D114)</f>
        <v>0</v>
      </c>
      <c r="E115" s="86">
        <f>SUM(E109:E114)</f>
        <v>2843404.0900000003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5190093.1300000008</v>
      </c>
      <c r="D118" s="24" t="s">
        <v>289</v>
      </c>
      <c r="E118" s="95">
        <f>+('DOE25'!L281)+('DOE25'!L300)+('DOE25'!L319)</f>
        <v>326643.96999999997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3173888.9700000007</v>
      </c>
      <c r="D119" s="24" t="s">
        <v>289</v>
      </c>
      <c r="E119" s="95">
        <f>+('DOE25'!L282)+('DOE25'!L301)+('DOE25'!L320)</f>
        <v>1103167.3199999998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909169.22</v>
      </c>
      <c r="D120" s="24" t="s">
        <v>289</v>
      </c>
      <c r="E120" s="95">
        <f>+('DOE25'!L283)+('DOE25'!L302)+('DOE25'!L321)</f>
        <v>580113.22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3444037.5200000005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639167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6444787.9799999995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3116380.88</v>
      </c>
      <c r="D124" s="24" t="s">
        <v>289</v>
      </c>
      <c r="E124" s="95">
        <f>+('DOE25'!L287)+('DOE25'!L306)+('DOE25'!L325)</f>
        <v>131962.44999999998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494907.20999999996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1688386.17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23412431.910000004</v>
      </c>
      <c r="D128" s="86">
        <f>SUM(D118:D127)</f>
        <v>1688386.17</v>
      </c>
      <c r="E128" s="86">
        <f>SUM(E118:E127)</f>
        <v>2141886.96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226649.46000000002</v>
      </c>
      <c r="D130" s="24" t="s">
        <v>289</v>
      </c>
      <c r="E130" s="129">
        <f>'DOE25'!L336</f>
        <v>0</v>
      </c>
      <c r="F130" s="129">
        <f>SUM('DOE25'!L374:'DOE25'!L380)</f>
        <v>153917.46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2770099.64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2819636.75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99295.360000000001</v>
      </c>
      <c r="F134" s="95">
        <f>'DOE25'!K381</f>
        <v>800000</v>
      </c>
      <c r="G134" s="95">
        <f>'DOE25'!K434</f>
        <v>325654.31</v>
      </c>
    </row>
    <row r="135" spans="1:7" x14ac:dyDescent="0.2">
      <c r="A135" t="s">
        <v>233</v>
      </c>
      <c r="B135" s="32" t="s">
        <v>234</v>
      </c>
      <c r="C135" s="95">
        <f>'DOE25'!L263</f>
        <v>100000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1304321.83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-124200.57000000007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70437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7166944.1099999994</v>
      </c>
      <c r="D144" s="141">
        <f>SUM(D130:D143)</f>
        <v>0</v>
      </c>
      <c r="E144" s="141">
        <f>SUM(E130:E143)</f>
        <v>99295.360000000001</v>
      </c>
      <c r="F144" s="141">
        <f>SUM(F130:F143)</f>
        <v>953917.46</v>
      </c>
      <c r="G144" s="141">
        <f>SUM(G130:G143)</f>
        <v>325654.31</v>
      </c>
    </row>
    <row r="145" spans="1:9" ht="12.75" thickTop="1" thickBot="1" x14ac:dyDescent="0.25">
      <c r="A145" s="33" t="s">
        <v>244</v>
      </c>
      <c r="C145" s="86">
        <f>(C115+C128+C144)</f>
        <v>73794312.5</v>
      </c>
      <c r="D145" s="86">
        <f>(D115+D128+D144)</f>
        <v>1688386.17</v>
      </c>
      <c r="E145" s="86">
        <f>(E115+E128+E144)</f>
        <v>5084586.4100000011</v>
      </c>
      <c r="F145" s="86">
        <f>(F115+F128+F144)</f>
        <v>953917.46</v>
      </c>
      <c r="G145" s="86">
        <f>(G115+G128+G144)</f>
        <v>325654.31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11/91 - 12/10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04/40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33198041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 t="str">
        <f>'DOE25'!F494</f>
        <v>See attached page for details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52720035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52720035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2743450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2743450</v>
      </c>
    </row>
    <row r="159" spans="1:9" x14ac:dyDescent="0.2">
      <c r="A159" s="22" t="s">
        <v>35</v>
      </c>
      <c r="B159" s="137">
        <f>'DOE25'!F498</f>
        <v>49976585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49976585</v>
      </c>
    </row>
    <row r="160" spans="1:9" x14ac:dyDescent="0.2">
      <c r="A160" s="22" t="s">
        <v>36</v>
      </c>
      <c r="B160" s="137">
        <f>'DOE25'!F499</f>
        <v>22359341.809999999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22359341.809999999</v>
      </c>
    </row>
    <row r="161" spans="1:7" x14ac:dyDescent="0.2">
      <c r="A161" s="22" t="s">
        <v>37</v>
      </c>
      <c r="B161" s="137">
        <f>'DOE25'!F500</f>
        <v>72335926.810000002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72335926.810000002</v>
      </c>
    </row>
    <row r="162" spans="1:7" x14ac:dyDescent="0.2">
      <c r="A162" s="22" t="s">
        <v>38</v>
      </c>
      <c r="B162" s="137">
        <f>'DOE25'!F501</f>
        <v>2321585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2321585</v>
      </c>
    </row>
    <row r="163" spans="1:7" x14ac:dyDescent="0.2">
      <c r="A163" s="22" t="s">
        <v>39</v>
      </c>
      <c r="B163" s="137">
        <f>'DOE25'!F502</f>
        <v>1820149.3200000003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1820149.3200000003</v>
      </c>
    </row>
    <row r="164" spans="1:7" x14ac:dyDescent="0.2">
      <c r="A164" s="22" t="s">
        <v>246</v>
      </c>
      <c r="B164" s="137">
        <f>'DOE25'!F503</f>
        <v>4141734.3200000003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4141734.3200000003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10"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Concord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15684</v>
      </c>
    </row>
    <row r="5" spans="1:4" x14ac:dyDescent="0.2">
      <c r="B5" t="s">
        <v>704</v>
      </c>
      <c r="C5" s="179">
        <f>IF('DOE25'!G665+'DOE25'!G670=0,0,ROUND('DOE25'!G672,0))</f>
        <v>14057</v>
      </c>
    </row>
    <row r="6" spans="1:4" x14ac:dyDescent="0.2">
      <c r="B6" t="s">
        <v>62</v>
      </c>
      <c r="C6" s="179">
        <f>IF('DOE25'!H665+'DOE25'!H670=0,0,ROUND('DOE25'!H672,0))</f>
        <v>13411</v>
      </c>
    </row>
    <row r="7" spans="1:4" x14ac:dyDescent="0.2">
      <c r="B7" t="s">
        <v>705</v>
      </c>
      <c r="C7" s="179">
        <f>IF('DOE25'!I665+'DOE25'!I670=0,0,ROUND('DOE25'!I672,0))</f>
        <v>14459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28491194</v>
      </c>
      <c r="D10" s="182">
        <f>ROUND((C10/$C$28)*100,1)</f>
        <v>37.700000000000003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14300192</v>
      </c>
      <c r="D11" s="182">
        <f>ROUND((C11/$C$28)*100,1)</f>
        <v>18.899999999999999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1444106</v>
      </c>
      <c r="D12" s="182">
        <f>ROUND((C12/$C$28)*100,1)</f>
        <v>1.9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1328556</v>
      </c>
      <c r="D13" s="182">
        <f>ROUND((C13/$C$28)*100,1)</f>
        <v>1.8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5516737</v>
      </c>
      <c r="D15" s="182">
        <f t="shared" ref="D15:D27" si="0">ROUND((C15/$C$28)*100,1)</f>
        <v>7.3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4277056</v>
      </c>
      <c r="D16" s="182">
        <f t="shared" si="0"/>
        <v>5.7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1984190</v>
      </c>
      <c r="D17" s="182">
        <f t="shared" si="0"/>
        <v>2.6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3444038</v>
      </c>
      <c r="D18" s="182">
        <f t="shared" si="0"/>
        <v>4.5999999999999996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639167</v>
      </c>
      <c r="D19" s="182">
        <f t="shared" si="0"/>
        <v>0.8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6444788</v>
      </c>
      <c r="D20" s="182">
        <f t="shared" si="0"/>
        <v>8.5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3248343</v>
      </c>
      <c r="D21" s="182">
        <f t="shared" si="0"/>
        <v>4.3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494293</v>
      </c>
      <c r="D24" s="182">
        <f t="shared" si="0"/>
        <v>0.7</v>
      </c>
    </row>
    <row r="25" spans="1:4" x14ac:dyDescent="0.2">
      <c r="A25">
        <v>5120</v>
      </c>
      <c r="B25" t="s">
        <v>720</v>
      </c>
      <c r="C25" s="179">
        <f>ROUND('DOE25'!L261+'DOE25'!L342,0)</f>
        <v>2819637</v>
      </c>
      <c r="D25" s="182">
        <f t="shared" si="0"/>
        <v>3.7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70437</v>
      </c>
      <c r="D26" s="182">
        <f t="shared" si="0"/>
        <v>0.1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1093353.7000000002</v>
      </c>
      <c r="D27" s="182">
        <f t="shared" si="0"/>
        <v>1.4</v>
      </c>
    </row>
    <row r="28" spans="1:4" x14ac:dyDescent="0.2">
      <c r="B28" s="187" t="s">
        <v>723</v>
      </c>
      <c r="C28" s="180">
        <f>SUM(C10:C27)</f>
        <v>75596087.700000003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380567</v>
      </c>
    </row>
    <row r="30" spans="1:4" x14ac:dyDescent="0.2">
      <c r="B30" s="187" t="s">
        <v>729</v>
      </c>
      <c r="C30" s="180">
        <f>SUM(C28:C29)</f>
        <v>75976654.700000003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2770100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42432399</v>
      </c>
      <c r="D35" s="182">
        <f t="shared" ref="D35:D40" si="1">ROUND((C35/$C$41)*100,1)</f>
        <v>52.8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4359068.7100000009</v>
      </c>
      <c r="D36" s="182">
        <f t="shared" si="1"/>
        <v>5.4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21605443</v>
      </c>
      <c r="D37" s="182">
        <f t="shared" si="1"/>
        <v>26.9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3126570</v>
      </c>
      <c r="D38" s="182">
        <f t="shared" si="1"/>
        <v>3.9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7226644</v>
      </c>
      <c r="D39" s="182">
        <f t="shared" si="1"/>
        <v>9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1627434</v>
      </c>
      <c r="D40" s="182">
        <f t="shared" si="1"/>
        <v>2</v>
      </c>
    </row>
    <row r="41" spans="1:4" x14ac:dyDescent="0.2">
      <c r="B41" s="187" t="s">
        <v>736</v>
      </c>
      <c r="C41" s="180">
        <f>SUM(C35:C40)</f>
        <v>80377558.710000008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19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Concord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2016-09-09T11:55:15Z</cp:lastPrinted>
  <dcterms:created xsi:type="dcterms:W3CDTF">1997-12-04T19:04:30Z</dcterms:created>
  <dcterms:modified xsi:type="dcterms:W3CDTF">2016-11-29T14:36:23Z</dcterms:modified>
</cp:coreProperties>
</file>