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3040" windowHeight="91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72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C123" i="2" s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C32" i="10" s="1"/>
  <c r="L342" i="1"/>
  <c r="L255" i="1"/>
  <c r="L336" i="1"/>
  <c r="C29" i="10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6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H662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F552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E114" i="2"/>
  <c r="D115" i="2"/>
  <c r="F115" i="2"/>
  <c r="G115" i="2"/>
  <c r="C118" i="2"/>
  <c r="C119" i="2"/>
  <c r="E119" i="2"/>
  <c r="C120" i="2"/>
  <c r="E120" i="2"/>
  <c r="E121" i="2"/>
  <c r="C122" i="2"/>
  <c r="E123" i="2"/>
  <c r="C124" i="2"/>
  <c r="E124" i="2"/>
  <c r="C125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F188" i="1"/>
  <c r="G188" i="1"/>
  <c r="H188" i="1"/>
  <c r="I188" i="1"/>
  <c r="F211" i="1"/>
  <c r="G211" i="1"/>
  <c r="H211" i="1"/>
  <c r="I211" i="1"/>
  <c r="J211" i="1"/>
  <c r="K211" i="1"/>
  <c r="F229" i="1"/>
  <c r="F257" i="1" s="1"/>
  <c r="F271" i="1" s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645" i="1" s="1"/>
  <c r="H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I446" i="1"/>
  <c r="F452" i="1"/>
  <c r="G452" i="1"/>
  <c r="H452" i="1"/>
  <c r="F460" i="1"/>
  <c r="G460" i="1"/>
  <c r="H460" i="1"/>
  <c r="F461" i="1"/>
  <c r="G461" i="1"/>
  <c r="H640" i="1" s="1"/>
  <c r="H461" i="1"/>
  <c r="H641" i="1" s="1"/>
  <c r="F470" i="1"/>
  <c r="F476" i="1" s="1"/>
  <c r="H622" i="1" s="1"/>
  <c r="J622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H545" i="1" s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J545" i="1" s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J565" i="1"/>
  <c r="J571" i="1" s="1"/>
  <c r="K565" i="1"/>
  <c r="K571" i="1" s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9" i="1"/>
  <c r="H630" i="1"/>
  <c r="H631" i="1"/>
  <c r="H632" i="1"/>
  <c r="H633" i="1"/>
  <c r="G634" i="1"/>
  <c r="J634" i="1" s="1"/>
  <c r="H635" i="1"/>
  <c r="H636" i="1"/>
  <c r="H637" i="1"/>
  <c r="H638" i="1"/>
  <c r="G639" i="1"/>
  <c r="H639" i="1"/>
  <c r="G640" i="1"/>
  <c r="G642" i="1"/>
  <c r="G643" i="1"/>
  <c r="G644" i="1"/>
  <c r="H644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C26" i="10"/>
  <c r="L290" i="1"/>
  <c r="A40" i="12"/>
  <c r="D7" i="13"/>
  <c r="C7" i="13" s="1"/>
  <c r="D6" i="13"/>
  <c r="C6" i="13" s="1"/>
  <c r="E8" i="13"/>
  <c r="C8" i="13" s="1"/>
  <c r="F18" i="2"/>
  <c r="E103" i="2"/>
  <c r="G62" i="2"/>
  <c r="D19" i="13"/>
  <c r="C19" i="13" s="1"/>
  <c r="D14" i="13"/>
  <c r="C14" i="13" s="1"/>
  <c r="E13" i="13"/>
  <c r="C13" i="13" s="1"/>
  <c r="J257" i="1"/>
  <c r="J271" i="1" s="1"/>
  <c r="J639" i="1"/>
  <c r="L433" i="1"/>
  <c r="I169" i="1"/>
  <c r="H169" i="1"/>
  <c r="J476" i="1"/>
  <c r="H626" i="1" s="1"/>
  <c r="H476" i="1"/>
  <c r="H624" i="1" s="1"/>
  <c r="I476" i="1"/>
  <c r="H625" i="1" s="1"/>
  <c r="G338" i="1"/>
  <c r="G352" i="1" s="1"/>
  <c r="J140" i="1"/>
  <c r="H257" i="1"/>
  <c r="H271" i="1" s="1"/>
  <c r="K550" i="1"/>
  <c r="G22" i="2"/>
  <c r="J552" i="1"/>
  <c r="H552" i="1"/>
  <c r="H140" i="1"/>
  <c r="L401" i="1"/>
  <c r="C139" i="2" s="1"/>
  <c r="L393" i="1"/>
  <c r="C138" i="2" s="1"/>
  <c r="J651" i="1"/>
  <c r="J640" i="1"/>
  <c r="H338" i="1"/>
  <c r="H352" i="1" s="1"/>
  <c r="G192" i="1"/>
  <c r="H192" i="1"/>
  <c r="L309" i="1"/>
  <c r="E16" i="13"/>
  <c r="J655" i="1"/>
  <c r="L570" i="1"/>
  <c r="I571" i="1"/>
  <c r="G36" i="2"/>
  <c r="L565" i="1"/>
  <c r="K551" i="1"/>
  <c r="D81" i="2" l="1"/>
  <c r="I545" i="1"/>
  <c r="L256" i="1"/>
  <c r="G257" i="1"/>
  <c r="G271" i="1" s="1"/>
  <c r="I257" i="1"/>
  <c r="I271" i="1" s="1"/>
  <c r="J192" i="1"/>
  <c r="G645" i="1"/>
  <c r="J645" i="1" s="1"/>
  <c r="H52" i="1"/>
  <c r="H619" i="1" s="1"/>
  <c r="G624" i="1"/>
  <c r="J624" i="1" s="1"/>
  <c r="K552" i="1"/>
  <c r="J641" i="1"/>
  <c r="D5" i="13"/>
  <c r="C5" i="13" s="1"/>
  <c r="C115" i="2"/>
  <c r="C78" i="2"/>
  <c r="C70" i="2"/>
  <c r="C81" i="2" s="1"/>
  <c r="D62" i="2"/>
  <c r="D63" i="2" s="1"/>
  <c r="E31" i="2"/>
  <c r="C18" i="2"/>
  <c r="D18" i="2"/>
  <c r="L211" i="1"/>
  <c r="C20" i="10"/>
  <c r="D18" i="13"/>
  <c r="C18" i="13" s="1"/>
  <c r="D17" i="13"/>
  <c r="C17" i="13" s="1"/>
  <c r="F660" i="1"/>
  <c r="F664" i="1" s="1"/>
  <c r="J644" i="1"/>
  <c r="G157" i="2"/>
  <c r="D91" i="2"/>
  <c r="C91" i="2"/>
  <c r="D50" i="2"/>
  <c r="C19" i="10"/>
  <c r="C10" i="10"/>
  <c r="C15" i="10"/>
  <c r="C35" i="10"/>
  <c r="H25" i="13"/>
  <c r="K549" i="1"/>
  <c r="J625" i="1"/>
  <c r="F112" i="1"/>
  <c r="C36" i="10" s="1"/>
  <c r="D29" i="13"/>
  <c r="C29" i="13" s="1"/>
  <c r="D15" i="13"/>
  <c r="C15" i="13" s="1"/>
  <c r="L544" i="1"/>
  <c r="L524" i="1"/>
  <c r="L545" i="1" s="1"/>
  <c r="G161" i="2"/>
  <c r="G156" i="2"/>
  <c r="F22" i="13"/>
  <c r="C22" i="13" s="1"/>
  <c r="H112" i="1"/>
  <c r="H193" i="1" s="1"/>
  <c r="G629" i="1" s="1"/>
  <c r="J629" i="1" s="1"/>
  <c r="D12" i="13"/>
  <c r="C12" i="13" s="1"/>
  <c r="L614" i="1"/>
  <c r="L529" i="1"/>
  <c r="K500" i="1"/>
  <c r="I460" i="1"/>
  <c r="I452" i="1"/>
  <c r="C121" i="2"/>
  <c r="C128" i="2" s="1"/>
  <c r="E109" i="2"/>
  <c r="E115" i="2" s="1"/>
  <c r="H661" i="1"/>
  <c r="E122" i="2"/>
  <c r="E128" i="2" s="1"/>
  <c r="G661" i="1"/>
  <c r="G662" i="1"/>
  <c r="I662" i="1" s="1"/>
  <c r="C13" i="10"/>
  <c r="D145" i="2"/>
  <c r="E62" i="2"/>
  <c r="E63" i="2" s="1"/>
  <c r="E33" i="13"/>
  <c r="D35" i="13" s="1"/>
  <c r="I661" i="1"/>
  <c r="K503" i="1"/>
  <c r="G81" i="2"/>
  <c r="C62" i="2"/>
  <c r="C63" i="2" s="1"/>
  <c r="G112" i="1"/>
  <c r="C16" i="13"/>
  <c r="L247" i="1"/>
  <c r="H660" i="1" s="1"/>
  <c r="J617" i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F193" i="1" s="1"/>
  <c r="G627" i="1" s="1"/>
  <c r="J627" i="1" s="1"/>
  <c r="G63" i="2"/>
  <c r="J618" i="1"/>
  <c r="G667" i="1"/>
  <c r="G42" i="2"/>
  <c r="J51" i="1"/>
  <c r="G16" i="2"/>
  <c r="G18" i="2" s="1"/>
  <c r="J19" i="1"/>
  <c r="G621" i="1" s="1"/>
  <c r="F33" i="13"/>
  <c r="F545" i="1"/>
  <c r="H434" i="1"/>
  <c r="J620" i="1"/>
  <c r="J619" i="1"/>
  <c r="D103" i="2"/>
  <c r="I140" i="1"/>
  <c r="I193" i="1" s="1"/>
  <c r="G630" i="1" s="1"/>
  <c r="J630" i="1" s="1"/>
  <c r="A22" i="12"/>
  <c r="G50" i="2"/>
  <c r="H648" i="1"/>
  <c r="J648" i="1" s="1"/>
  <c r="J652" i="1"/>
  <c r="G571" i="1"/>
  <c r="I434" i="1"/>
  <c r="G434" i="1"/>
  <c r="I663" i="1"/>
  <c r="C27" i="10"/>
  <c r="G635" i="1"/>
  <c r="J635" i="1" s="1"/>
  <c r="D104" i="2" l="1"/>
  <c r="E51" i="2"/>
  <c r="G51" i="2"/>
  <c r="C145" i="2"/>
  <c r="E145" i="2"/>
  <c r="I461" i="1"/>
  <c r="H642" i="1" s="1"/>
  <c r="J642" i="1" s="1"/>
  <c r="C104" i="2"/>
  <c r="C25" i="13"/>
  <c r="H33" i="13"/>
  <c r="D31" i="13"/>
  <c r="C31" i="13" s="1"/>
  <c r="C28" i="10"/>
  <c r="D24" i="10" s="1"/>
  <c r="G104" i="2"/>
  <c r="H664" i="1"/>
  <c r="I660" i="1"/>
  <c r="L408" i="1"/>
  <c r="L257" i="1"/>
  <c r="L271" i="1" s="1"/>
  <c r="G632" i="1" s="1"/>
  <c r="J632" i="1" s="1"/>
  <c r="F672" i="1"/>
  <c r="C4" i="10" s="1"/>
  <c r="F667" i="1"/>
  <c r="C51" i="2"/>
  <c r="G631" i="1"/>
  <c r="J631" i="1" s="1"/>
  <c r="I664" i="1"/>
  <c r="I672" i="1" s="1"/>
  <c r="C7" i="10" s="1"/>
  <c r="D33" i="13"/>
  <c r="D36" i="13" s="1"/>
  <c r="G193" i="1"/>
  <c r="G626" i="1"/>
  <c r="J626" i="1" s="1"/>
  <c r="J52" i="1"/>
  <c r="H621" i="1" s="1"/>
  <c r="J621" i="1" s="1"/>
  <c r="C38" i="10"/>
  <c r="D23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28" i="1" l="1"/>
  <c r="G468" i="1"/>
  <c r="G637" i="1"/>
  <c r="J637" i="1" s="1"/>
  <c r="H646" i="1"/>
  <c r="J646" i="1" s="1"/>
  <c r="H667" i="1"/>
  <c r="H672" i="1"/>
  <c r="C6" i="10" s="1"/>
  <c r="I667" i="1"/>
  <c r="D28" i="10"/>
  <c r="C41" i="10"/>
  <c r="D38" i="10" s="1"/>
  <c r="G470" i="1" l="1"/>
  <c r="G476" i="1" s="1"/>
  <c r="H623" i="1" s="1"/>
  <c r="J623" i="1" s="1"/>
  <c r="H628" i="1"/>
  <c r="J628" i="1" s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<sst xmlns="http://schemas.openxmlformats.org/spreadsheetml/2006/main" count="3963" uniqueCount="919">
  <si>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</si>
  <si>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</si>
  <si>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</si>
  <si>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</si>
  <si>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</si>
  <si>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</si>
  <si>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</si>
  <si>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</si>
  <si>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</si>
  <si>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</si>
  <si>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</si>
  <si>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</si>
  <si>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</si>
  <si>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</si>
  <si>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</si>
  <si>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</si>
  <si>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</si>
  <si>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</si>
  <si>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</si>
  <si>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</si>
  <si>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</si>
  <si>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</si>
  <si>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</si>
  <si>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</si>
  <si>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</si>
  <si>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</si>
  <si>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</si>
  <si>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</si>
  <si>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</si>
  <si>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</si>
  <si>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</si>
  <si>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</si>
  <si>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</si>
  <si>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</si>
  <si>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</si>
  <si>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</si>
  <si>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</si>
  <si>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</si>
  <si>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</si>
  <si>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</si>
  <si>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</si>
  <si>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</si>
  <si>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</si>
  <si>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</si>
  <si>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</si>
  <si>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</si>
  <si>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</si>
  <si>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</si>
  <si>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</si>
  <si>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</si>
  <si>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</si>
  <si>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</si>
  <si>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</si>
  <si>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</si>
  <si>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</si>
  <si>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</si>
  <si>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</si>
  <si>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</si>
  <si>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</si>
  <si>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</si>
  <si>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</si>
  <si>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</si>
  <si>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</si>
  <si>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</si>
  <si>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</si>
  <si>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</si>
  <si>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</si>
  <si>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</si>
  <si>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</si>
  <si>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</si>
  <si>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</si>
  <si>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</si>
  <si>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</si>
  <si>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</si>
  <si>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</si>
  <si>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</si>
  <si>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</si>
  <si>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</si>
  <si>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</si>
  <si>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</si>
  <si>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</si>
  <si>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</si>
  <si>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</si>
  <si>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</si>
  <si>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</si>
  <si>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</si>
  <si>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</si>
  <si>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</si>
  <si>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</si>
  <si>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</si>
  <si>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</si>
  <si>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</si>
  <si>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</si>
  <si>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</si>
  <si>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</si>
  <si>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</si>
  <si>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</si>
  <si>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</si>
  <si>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</si>
  <si>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</si>
  <si>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</si>
  <si>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</si>
  <si>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</si>
  <si>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</si>
  <si>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</si>
  <si>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</si>
  <si>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</si>
  <si>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</si>
  <si>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</si>
  <si>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</si>
  <si>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</si>
  <si>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</si>
  <si>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</si>
  <si>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</si>
  <si>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</si>
  <si>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</si>
  <si>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</si>
  <si>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</si>
  <si>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</si>
  <si>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</si>
  <si>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</si>
  <si>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</si>
  <si>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</si>
  <si>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</si>
  <si>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</si>
  <si>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</si>
  <si>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</si>
  <si>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</si>
  <si>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</si>
  <si>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</si>
  <si>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</si>
  <si>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</si>
  <si>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</si>
  <si>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</si>
  <si>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</si>
  <si>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</si>
  <si>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</si>
  <si>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</si>
  <si>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</si>
  <si>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</si>
  <si>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</si>
  <si>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</si>
  <si>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</si>
  <si>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</si>
  <si>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</si>
  <si>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</si>
  <si>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</si>
  <si>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</si>
  <si>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</si>
  <si>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</si>
  <si>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</si>
  <si>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</si>
  <si>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</si>
  <si>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</si>
  <si>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</si>
  <si>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</si>
  <si>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</si>
  <si>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</si>
  <si>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</si>
  <si>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</si>
  <si>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</si>
  <si>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</si>
  <si>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</si>
  <si>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</si>
  <si>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</si>
  <si>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</si>
  <si>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</si>
  <si>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</si>
  <si>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</si>
  <si>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</si>
  <si>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</si>
  <si>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</si>
  <si>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</si>
  <si>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</si>
  <si>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</si>
  <si>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</si>
  <si>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</si>
  <si>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</si>
  <si>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</si>
  <si>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</si>
  <si>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</si>
  <si>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</si>
  <si>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</si>
  <si>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</si>
  <si>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</si>
  <si>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</si>
  <si>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</si>
  <si>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</si>
  <si>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</si>
  <si>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</si>
  <si>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</si>
  <si>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</si>
  <si>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</si>
  <si>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</si>
  <si>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</si>
  <si>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</si>
  <si>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</si>
  <si>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</si>
  <si>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</si>
  <si>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</si>
  <si>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</si>
  <si>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</si>
  <si>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</si>
  <si>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</si>
  <si>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</si>
  <si>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</si>
  <si>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</si>
  <si>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</si>
  <si>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</si>
  <si>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</si>
  <si>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</si>
  <si>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</si>
  <si>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</si>
  <si>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</si>
  <si>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</si>
  <si>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</si>
  <si>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</si>
  <si>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</si>
  <si>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</si>
  <si>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</si>
  <si>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</si>
  <si>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</si>
  <si>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</si>
  <si>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</si>
  <si>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</si>
  <si>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</si>
  <si>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</si>
  <si>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</si>
  <si>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</si>
  <si>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</si>
  <si>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</si>
  <si>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</si>
  <si>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</si>
  <si>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</si>
  <si>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</si>
  <si>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</si>
  <si>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</si>
  <si>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</si>
  <si>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</si>
  <si>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</si>
  <si>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</si>
  <si>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</si>
  <si>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</si>
  <si>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</si>
  <si>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</si>
  <si>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</si>
  <si>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</si>
  <si>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</si>
  <si>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</si>
  <si>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</si>
  <si>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</si>
  <si>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</si>
  <si>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</si>
  <si>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</si>
  <si>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</si>
  <si>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</si>
  <si>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</si>
  <si>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</si>
  <si>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</si>
  <si>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</si>
  <si>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</si>
  <si>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</si>
  <si>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</si>
  <si>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</si>
  <si>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</si>
  <si>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</si>
  <si>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</si>
  <si>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</si>
  <si>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</si>
  <si>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</si>
  <si>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</si>
  <si>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</si>
  <si>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</si>
  <si>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</si>
  <si>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</si>
  <si>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</si>
  <si>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</si>
  <si>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</si>
  <si>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</si>
  <si>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</si>
  <si>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</si>
  <si>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</si>
  <si>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</si>
  <si>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</si>
  <si>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</si>
  <si>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</si>
  <si>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</si>
  <si>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</si>
  <si>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</si>
  <si>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</si>
  <si>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</si>
  <si>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</si>
  <si>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</si>
  <si>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</si>
  <si>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</si>
  <si>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</si>
  <si>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</si>
  <si>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</si>
  <si>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</si>
  <si>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</si>
  <si>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</si>
  <si>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</si>
  <si>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</si>
  <si>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</si>
  <si>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</si>
  <si>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</si>
  <si>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</si>
  <si>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</si>
  <si>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</si>
  <si>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</si>
  <si>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</si>
  <si>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</si>
  <si>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</si>
  <si>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</si>
  <si>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</si>
  <si>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</si>
  <si>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</si>
  <si>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</si>
  <si>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</si>
  <si>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</si>
  <si>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</si>
  <si>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</si>
  <si>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</si>
  <si>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</si>
  <si>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</si>
  <si>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</si>
  <si>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</si>
  <si>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</si>
  <si>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</si>
  <si>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</si>
  <si>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</si>
  <si>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</si>
  <si>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</si>
  <si>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</si>
  <si>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</si>
  <si>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</si>
  <si>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</si>
  <si>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</si>
  <si>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</si>
  <si>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</si>
  <si>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</si>
  <si>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</si>
  <si>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</si>
  <si>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</si>
  <si>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</si>
  <si>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</si>
  <si>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</si>
  <si>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</si>
  <si>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</si>
  <si>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</si>
  <si>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</si>
  <si>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</si>
  <si>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</si>
  <si>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</si>
  <si>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</si>
  <si>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</si>
  <si>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</si>
  <si>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</si>
  <si>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</si>
  <si>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</si>
  <si>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</si>
  <si>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</si>
  <si>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</si>
  <si>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</si>
  <si>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</si>
  <si>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</si>
  <si>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</si>
  <si>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</si>
  <si>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</si>
  <si>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</si>
  <si>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</si>
  <si>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</si>
  <si>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</si>
  <si>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</si>
  <si>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</si>
  <si>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</si>
  <si>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</si>
  <si>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</si>
  <si>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</si>
  <si>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</si>
  <si>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</si>
  <si>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</si>
  <si>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</si>
  <si>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</si>
  <si>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</si>
  <si>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</si>
  <si>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</si>
  <si>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</si>
  <si>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</si>
  <si>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</si>
  <si>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</si>
  <si>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</si>
  <si>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</si>
  <si>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</si>
  <si>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</si>
  <si>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</si>
  <si>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</si>
  <si>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</si>
  <si>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</si>
  <si>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</si>
  <si>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</si>
  <si>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</si>
  <si>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</si>
  <si>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</si>
  <si>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</si>
  <si>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</si>
  <si>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</si>
  <si>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</si>
  <si>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</si>
  <si>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</si>
  <si>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</si>
  <si>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</si>
  <si>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</si>
  <si>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</si>
  <si>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</si>
  <si>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</si>
  <si>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</si>
  <si>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</si>
  <si>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</si>
  <si>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</si>
  <si>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</si>
  <si>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</si>
  <si>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</si>
  <si>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</si>
  <si>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</si>
  <si>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</si>
  <si>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</si>
  <si>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</si>
  <si>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</si>
  <si>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</si>
  <si>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</si>
  <si>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</si>
  <si>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</si>
  <si>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</si>
  <si>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</si>
  <si>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</si>
  <si>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</si>
  <si>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</si>
  <si>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</si>
  <si>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</si>
  <si>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</si>
  <si>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</si>
  <si>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</si>
  <si>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</si>
  <si>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</si>
  <si>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</si>
  <si>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</si>
  <si>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</si>
  <si>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</si>
  <si>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</si>
  <si>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</si>
  <si>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</si>
  <si>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</si>
  <si>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</si>
  <si>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</si>
  <si>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</si>
  <si>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</si>
  <si>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</si>
  <si>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</si>
  <si>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</si>
  <si>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</si>
  <si>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</si>
  <si>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</si>
  <si>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</si>
  <si>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</si>
  <si>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</si>
  <si>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</si>
  <si>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</si>
  <si>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</si>
  <si>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</si>
  <si>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</si>
  <si>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</si>
  <si>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</si>
  <si>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</si>
  <si>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</si>
  <si>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</si>
  <si>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</si>
  <si>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</si>
  <si>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</si>
  <si>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</si>
  <si>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</si>
  <si>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</si>
  <si>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</si>
  <si>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</si>
  <si>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</si>
  <si>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</si>
  <si>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</si>
  <si>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</si>
  <si>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</si>
  <si>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</si>
  <si>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</si>
  <si>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</si>
  <si>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</si>
  <si>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</si>
  <si>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</si>
  <si>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</si>
  <si>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</si>
  <si>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</si>
  <si>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</si>
  <si>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</si>
  <si>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</si>
  <si>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</si>
  <si>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</si>
  <si>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</si>
  <si>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</si>
  <si>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</si>
  <si>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</si>
  <si>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</si>
  <si>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</si>
  <si>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</si>
  <si>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</si>
  <si>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</si>
  <si>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</si>
  <si>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</si>
  <si>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</si>
  <si>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</si>
  <si>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</si>
  <si>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</si>
  <si>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</si>
  <si>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</si>
  <si>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</si>
  <si>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</si>
  <si>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</si>
  <si>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</si>
  <si>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</si>
  <si>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</si>
  <si>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</si>
  <si>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</si>
  <si>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</si>
  <si>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</si>
  <si>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</si>
  <si>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</si>
  <si>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</si>
  <si>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</si>
  <si>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</si>
  <si>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</si>
  <si>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</si>
  <si>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</si>
  <si>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</si>
  <si>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</si>
  <si>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</si>
  <si>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</si>
  <si>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</si>
  <si>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</si>
  <si>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</si>
  <si>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</si>
  <si>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</si>
  <si>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</si>
  <si>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</si>
  <si>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</si>
  <si>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</si>
  <si>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</si>
  <si>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</si>
  <si>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</si>
  <si>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</si>
  <si>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</si>
  <si>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</si>
  <si>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</si>
  <si>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</si>
  <si>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</si>
  <si>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</si>
  <si>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</si>
  <si>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</si>
  <si>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</si>
  <si>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</si>
  <si>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</si>
  <si>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</si>
  <si>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</si>
  <si>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</si>
  <si>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</si>
  <si>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</si>
  <si>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</si>
  <si>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</si>
  <si>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</si>
  <si>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</si>
  <si>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</si>
  <si>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</si>
  <si>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</si>
  <si>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</si>
  <si>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</si>
  <si>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</si>
  <si>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</si>
  <si>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</si>
  <si>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</si>
  <si>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</si>
  <si>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</si>
  <si>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</si>
  <si>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</si>
  <si>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</si>
  <si>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</si>
  <si>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</si>
  <si>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</si>
  <si>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</si>
  <si>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</si>
  <si>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</si>
  <si>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</si>
  <si>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</si>
  <si>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</si>
  <si>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</si>
  <si>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</si>
  <si>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</si>
  <si>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</si>
  <si>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</si>
  <si>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</si>
  <si>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</si>
  <si>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</si>
  <si>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</si>
  <si>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</si>
  <si>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</si>
  <si>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</si>
  <si>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</si>
  <si>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</si>
  <si>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</si>
  <si>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</si>
  <si>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</si>
  <si>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</si>
  <si>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</si>
  <si>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</si>
  <si>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</si>
  <si>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</si>
  <si>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</si>
  <si>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</si>
  <si>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</si>
  <si>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</si>
  <si>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</si>
  <si>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</si>
  <si>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</si>
  <si>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</si>
  <si>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</si>
  <si>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</si>
  <si>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</si>
  <si>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</si>
  <si>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</si>
  <si>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</si>
  <si>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</si>
  <si>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</si>
  <si>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</si>
  <si>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</si>
  <si>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</si>
  <si>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</si>
  <si>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</si>
  <si>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</si>
  <si>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</si>
  <si>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</si>
  <si>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</si>
  <si>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</si>
  <si>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</si>
  <si>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</si>
  <si>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</si>
  <si>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</si>
  <si>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</si>
  <si>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</si>
  <si>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</si>
  <si>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</si>
  <si>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</si>
  <si>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</si>
  <si>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</si>
  <si>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</si>
  <si>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</si>
  <si>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</si>
  <si>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</si>
  <si>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</si>
  <si>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</si>
  <si>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</si>
  <si>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</si>
  <si>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</si>
  <si>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</si>
  <si>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</si>
  <si>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</si>
  <si>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</si>
  <si>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</si>
  <si>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</si>
  <si>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</si>
  <si>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</si>
  <si>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</si>
  <si>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</si>
  <si>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</si>
  <si>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</si>
  <si>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</si>
  <si>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</si>
  <si>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</si>
  <si>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</si>
  <si>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</si>
  <si>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</si>
  <si>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</si>
  <si>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</si>
  <si>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</si>
  <si>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</si>
  <si>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</si>
  <si>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</si>
  <si>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</si>
  <si>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</si>
  <si>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</si>
  <si>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</si>
  <si>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</si>
  <si>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</si>
  <si>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</si>
  <si>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</si>
  <si>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</si>
  <si>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</si>
  <si>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</si>
  <si>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</si>
  <si>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</si>
  <si>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</si>
  <si>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</si>
  <si>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</si>
  <si>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</si>
  <si>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</si>
  <si>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</si>
  <si>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</si>
  <si>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</si>
  <si>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</si>
  <si>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</si>
  <si>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</si>
  <si>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</si>
  <si>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</si>
  <si>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</si>
  <si>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</si>
  <si>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</si>
  <si>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</si>
  <si>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</si>
  <si>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</si>
  <si>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</si>
  <si>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</si>
  <si>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</si>
  <si>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</si>
  <si>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</si>
  <si>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</si>
  <si>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</si>
  <si>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</si>
  <si>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</si>
  <si>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</si>
  <si>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</si>
  <si>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</si>
  <si>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</si>
  <si>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</si>
  <si>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</si>
  <si>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</si>
  <si>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</si>
  <si>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</si>
  <si>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</si>
  <si>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</si>
  <si>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</si>
  <si>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</si>
  <si>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</si>
  <si>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</si>
  <si>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</si>
  <si>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</si>
  <si>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</si>
  <si>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</si>
  <si>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</si>
  <si>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</si>
  <si>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</si>
  <si>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</si>
  <si>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</si>
  <si>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</si>
  <si>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</si>
  <si>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</si>
  <si>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</si>
  <si>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</si>
  <si>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</si>
  <si>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</si>
  <si>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</si>
  <si>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</si>
  <si>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</si>
  <si>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</si>
  <si>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</si>
  <si>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</si>
  <si>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</si>
  <si>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</si>
  <si>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</si>
  <si>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</si>
  <si>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</si>
  <si>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</si>
  <si>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</si>
  <si>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</si>
  <si>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</si>
  <si>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</si>
  <si>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</si>
  <si>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</si>
  <si>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</si>
  <si>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</si>
  <si>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</si>
  <si>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</si>
  <si>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</si>
  <si>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</si>
  <si>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</si>
  <si>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</si>
  <si>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</si>
  <si>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</si>
  <si>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</si>
  <si>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</si>
  <si>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</si>
  <si>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</si>
  <si>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</si>
  <si>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</si>
  <si>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</si>
  <si>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</si>
  <si>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</si>
  <si>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</si>
  <si>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</si>
  <si>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</si>
  <si>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</si>
  <si>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</si>
  <si>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</si>
  <si>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</si>
  <si>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</si>
  <si>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</si>
  <si>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</si>
  <si>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</si>
  <si>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</si>
  <si>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</si>
  <si>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</si>
  <si>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</si>
  <si>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</si>
  <si>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</si>
  <si>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</si>
  <si>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</si>
  <si>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</si>
  <si>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</si>
  <si>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</si>
  <si>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</si>
  <si>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</si>
  <si>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</si>
  <si>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</si>
  <si>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</si>
  <si>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</si>
  <si>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</si>
  <si>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</si>
  <si>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</si>
  <si>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</si>
  <si>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</si>
  <si>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</si>
  <si>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</si>
  <si>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</si>
  <si>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</si>
  <si>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</si>
  <si>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</si>
  <si>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</si>
  <si>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</si>
  <si>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</si>
  <si>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</si>
  <si>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</si>
  <si>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</si>
  <si>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</si>
  <si>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</si>
  <si>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</si>
  <si>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</si>
  <si>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</si>
  <si>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</si>
  <si>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</si>
  <si>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</si>
  <si>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</si>
  <si>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</si>
  <si>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</si>
  <si>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</si>
  <si>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</si>
  <si>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</si>
  <si>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</si>
  <si>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</si>
  <si>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</si>
  <si>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</si>
  <si>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</si>
  <si>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</si>
  <si>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</si>
  <si>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</si>
  <si>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</si>
  <si>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</si>
  <si>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</si>
  <si>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</si>
  <si>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</si>
  <si>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</si>
  <si>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</si>
  <si>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</si>
  <si>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</si>
  <si>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</si>
  <si>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</si>
  <si>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</si>
  <si>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</si>
  <si>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</si>
  <si>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</si>
  <si>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</si>
  <si>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</si>
  <si>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</si>
  <si>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</si>
  <si>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</si>
  <si>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</si>
  <si>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</si>
  <si>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</si>
  <si>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</si>
  <si>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</si>
  <si>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</si>
  <si>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</si>
  <si>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</si>
  <si>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</si>
  <si>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</si>
  <si>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</si>
  <si>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</si>
  <si>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</si>
  <si>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</si>
  <si>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</si>
  <si>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</si>
  <si>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</si>
  <si>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</si>
  <si>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</si>
  <si>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</si>
  <si>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</si>
  <si>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</si>
  <si>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</si>
  <si>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</si>
  <si>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</si>
  <si>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</si>
  <si>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Con Val</t>
  </si>
  <si>
    <t>General Fund Other Local Revenue is HealthTrust return and FEMA reimbursement</t>
  </si>
  <si>
    <t>General Fund Other is gate receipts</t>
  </si>
  <si>
    <t>General fund $185K is Special Revenue Fund</t>
  </si>
  <si>
    <t>General fund interest includes $48.72 for PDIP</t>
  </si>
  <si>
    <t>General fund transportation costs include propane  for buses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</si>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</sst>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112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3003072.39</v>
      </c>
      <c r="G9" s="18">
        <v>118462.35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5860.54</v>
      </c>
      <c r="G10" s="18"/>
      <c r="H10" s="18"/>
      <c r="I10" s="18"/>
      <c r="J10" s="67">
        <f>SUM(I440)</f>
        <v>1464440.75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314416.67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121001.35</v>
      </c>
      <c r="G13" s="18">
        <v>18606.810000000001</v>
      </c>
      <c r="H13" s="18">
        <v>243301.41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24512.54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275709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3744572.49</v>
      </c>
      <c r="G19" s="41">
        <f>SUM(G9:G18)</f>
        <v>137069.16</v>
      </c>
      <c r="H19" s="41">
        <f>SUM(H9:H18)</f>
        <v>243301.41</v>
      </c>
      <c r="I19" s="41">
        <f>SUM(I9:I18)</f>
        <v>0</v>
      </c>
      <c r="J19" s="41">
        <f>SUM(J9:J18)</f>
        <v>1464440.75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185771.14</v>
      </c>
      <c r="G22" s="18">
        <v>43120.239999999991</v>
      </c>
      <c r="H22" s="18">
        <v>237527.08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222313.49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119759.76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5774.33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408084.63</v>
      </c>
      <c r="G32" s="41">
        <f>SUM(G22:G31)</f>
        <v>162880</v>
      </c>
      <c r="H32" s="41">
        <f>SUM(H22:H31)</f>
        <v>243301.40999999997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275709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-25810.839999999997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1464440.75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1493945.51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1066833.3500000003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3336487.8600000003</v>
      </c>
      <c r="G51" s="41">
        <f>SUM(G35:G50)</f>
        <v>-25810.839999999997</v>
      </c>
      <c r="H51" s="41">
        <f>SUM(H35:H50)</f>
        <v>0</v>
      </c>
      <c r="I51" s="41">
        <f>SUM(I35:I50)</f>
        <v>0</v>
      </c>
      <c r="J51" s="41">
        <f>SUM(J35:J50)</f>
        <v>1464440.75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3744572.49</v>
      </c>
      <c r="G52" s="41">
        <f>G51+G32</f>
        <v>137069.16</v>
      </c>
      <c r="H52" s="41">
        <f>H51+H32</f>
        <v>243301.40999999997</v>
      </c>
      <c r="I52" s="41">
        <f>I51+I32</f>
        <v>0</v>
      </c>
      <c r="J52" s="41">
        <f>J51+J32</f>
        <v>1464440.75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27806480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27806480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100856.25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38810.93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10866.53</v>
      </c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150533.71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505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505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6903.68</v>
      </c>
      <c r="G96" s="18">
        <v>53.58</v>
      </c>
      <c r="H96" s="18"/>
      <c r="I96" s="18"/>
      <c r="J96" s="18">
        <v>1374.56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457803.33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>
        <v>6695</v>
      </c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784684.76</v>
      </c>
      <c r="G110" s="18">
        <v>1682.0900000000001</v>
      </c>
      <c r="H110" s="18">
        <v>9785.1299999999992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791588.44000000006</v>
      </c>
      <c r="G111" s="41">
        <f>SUM(G96:G110)</f>
        <v>466234.00000000006</v>
      </c>
      <c r="H111" s="41">
        <f>SUM(H96:H110)</f>
        <v>9785.1299999999992</v>
      </c>
      <c r="I111" s="41">
        <f>SUM(I96:I110)</f>
        <v>0</v>
      </c>
      <c r="J111" s="41">
        <f>SUM(J96:J110)</f>
        <v>1374.56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28749107.150000002</v>
      </c>
      <c r="G112" s="41">
        <f>G60+G111</f>
        <v>466234.00000000006</v>
      </c>
      <c r="H112" s="41">
        <f>H60+H79+H94+H111</f>
        <v>9785.1299999999992</v>
      </c>
      <c r="I112" s="41">
        <f>I60+I111</f>
        <v>0</v>
      </c>
      <c r="J112" s="41">
        <f>J60+J111</f>
        <v>1374.56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7521087.2599999998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4708446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12229533.26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678111.94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570641.04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27858.6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11618.39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12011.92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5000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1288229.97</v>
      </c>
      <c r="G136" s="41">
        <f>SUM(G123:G135)</f>
        <v>17011.919999999998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13517763.23</v>
      </c>
      <c r="G140" s="41">
        <f>G121+SUM(G136:G137)</f>
        <v>17011.919999999998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>
        <v>79380.37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473217.38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262999.62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7645.84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427037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487761.41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404698.94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404698.94</v>
      </c>
      <c r="G162" s="41">
        <f>SUM(G150:G161)</f>
        <v>427037</v>
      </c>
      <c r="H162" s="41">
        <f>SUM(H150:H161)</f>
        <v>1311004.6199999999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404698.94</v>
      </c>
      <c r="G169" s="41">
        <f>G147+G162+SUM(G163:G168)</f>
        <v>427037</v>
      </c>
      <c r="H169" s="41">
        <f>H147+H162+SUM(H163:H168)</f>
        <v>1311004.6199999999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209980.5</v>
      </c>
      <c r="H179" s="18"/>
      <c r="I179" s="18"/>
      <c r="J179" s="18">
        <v>400000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209980.5</v>
      </c>
      <c r="H183" s="41">
        <f>SUM(H179:H182)</f>
        <v>0</v>
      </c>
      <c r="I183" s="41">
        <f>SUM(I179:I182)</f>
        <v>0</v>
      </c>
      <c r="J183" s="41">
        <f>SUM(J179:J182)</f>
        <v>400000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209980.5</v>
      </c>
      <c r="H192" s="41">
        <f>+H183+SUM(H188:H191)</f>
        <v>0</v>
      </c>
      <c r="I192" s="41">
        <f>I177+I183+SUM(I188:I191)</f>
        <v>0</v>
      </c>
      <c r="J192" s="41">
        <f>J183</f>
        <v>400000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42671569.32</v>
      </c>
      <c r="G193" s="47">
        <f>G112+G140+G169+G192</f>
        <v>1120263.42</v>
      </c>
      <c r="H193" s="47">
        <f>H112+H140+H169+H192</f>
        <v>1320789.7499999998</v>
      </c>
      <c r="I193" s="47">
        <f>I112+I140+I169+I192</f>
        <v>0</v>
      </c>
      <c r="J193" s="47">
        <f>J112+J140+J192</f>
        <v>401374.56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3569803.9650000003</v>
      </c>
      <c r="G197" s="18">
        <v>1879842.3419999997</v>
      </c>
      <c r="H197" s="18">
        <v>81034.539999999994</v>
      </c>
      <c r="I197" s="18">
        <v>129022.45999999999</v>
      </c>
      <c r="J197" s="18">
        <v>118329.93</v>
      </c>
      <c r="K197" s="18"/>
      <c r="L197" s="19">
        <f>SUM(F197:K197)</f>
        <v>5778033.2369999997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1624525.4509999999</v>
      </c>
      <c r="G198" s="18">
        <v>881176.13800000004</v>
      </c>
      <c r="H198" s="18">
        <v>193370.00400000002</v>
      </c>
      <c r="I198" s="18">
        <v>19614.346999999998</v>
      </c>
      <c r="J198" s="18">
        <v>730.80000000000007</v>
      </c>
      <c r="K198" s="18">
        <v>1830</v>
      </c>
      <c r="L198" s="19">
        <f>SUM(F198:K198)</f>
        <v>2721246.7399999998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>
        <v>4895</v>
      </c>
      <c r="I200" s="18">
        <v>2495.2600000000002</v>
      </c>
      <c r="J200" s="18"/>
      <c r="K200" s="18"/>
      <c r="L200" s="19">
        <f>SUM(F200:K200)</f>
        <v>7390.26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472179.64999999997</v>
      </c>
      <c r="G202" s="18">
        <v>218059.11</v>
      </c>
      <c r="H202" s="18">
        <v>52550.182999999997</v>
      </c>
      <c r="I202" s="18">
        <v>5962.8</v>
      </c>
      <c r="J202" s="18">
        <v>4399.9750000000004</v>
      </c>
      <c r="K202" s="18"/>
      <c r="L202" s="19">
        <f t="shared" ref="L202:L208" si="0">SUM(F202:K202)</f>
        <v>753151.71799999999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207032.79200000002</v>
      </c>
      <c r="G203" s="18">
        <v>129561.19</v>
      </c>
      <c r="H203" s="18">
        <v>92794.998999999996</v>
      </c>
      <c r="I203" s="18">
        <v>57140.384999999995</v>
      </c>
      <c r="J203" s="18"/>
      <c r="K203" s="18"/>
      <c r="L203" s="19">
        <f t="shared" si="0"/>
        <v>486529.36600000004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314195.32500000001</v>
      </c>
      <c r="G204" s="18">
        <v>85603.44</v>
      </c>
      <c r="H204" s="18">
        <v>86519.600999999995</v>
      </c>
      <c r="I204" s="145">
        <v>47607.620999999999</v>
      </c>
      <c r="J204" s="18">
        <v>3130.56</v>
      </c>
      <c r="K204" s="18">
        <v>7545.0560000000005</v>
      </c>
      <c r="L204" s="19">
        <f t="shared" si="0"/>
        <v>544601.60300000012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881585.29</v>
      </c>
      <c r="G205" s="18">
        <v>499764.02</v>
      </c>
      <c r="H205" s="18">
        <v>51647.76</v>
      </c>
      <c r="I205" s="18">
        <v>1634.44</v>
      </c>
      <c r="J205" s="18"/>
      <c r="K205" s="18">
        <v>13286.5</v>
      </c>
      <c r="L205" s="19">
        <f t="shared" si="0"/>
        <v>1447918.01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178542.38</v>
      </c>
      <c r="G207" s="18">
        <v>18619.587</v>
      </c>
      <c r="H207" s="18">
        <v>840672.28500000003</v>
      </c>
      <c r="I207" s="18">
        <v>341517.40499999997</v>
      </c>
      <c r="J207" s="18">
        <v>14752.415999999999</v>
      </c>
      <c r="K207" s="18"/>
      <c r="L207" s="19">
        <f t="shared" si="0"/>
        <v>1394104.0730000001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779328.1094999999</v>
      </c>
      <c r="I208" s="18">
        <v>74231.468299999993</v>
      </c>
      <c r="J208" s="18"/>
      <c r="K208" s="18"/>
      <c r="L208" s="19">
        <f t="shared" si="0"/>
        <v>853559.57779999985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7247864.8530000011</v>
      </c>
      <c r="G211" s="41">
        <f t="shared" si="1"/>
        <v>3712625.8269999991</v>
      </c>
      <c r="H211" s="41">
        <f t="shared" si="1"/>
        <v>2182812.4814999998</v>
      </c>
      <c r="I211" s="41">
        <f t="shared" si="1"/>
        <v>679226.18629999983</v>
      </c>
      <c r="J211" s="41">
        <f t="shared" si="1"/>
        <v>141343.68100000001</v>
      </c>
      <c r="K211" s="41">
        <f t="shared" si="1"/>
        <v>22661.556</v>
      </c>
      <c r="L211" s="41">
        <f t="shared" si="1"/>
        <v>13986534.584800001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3076797.0405000001</v>
      </c>
      <c r="G215" s="18">
        <v>1545717.7752</v>
      </c>
      <c r="H215" s="18">
        <v>73943.748000000007</v>
      </c>
      <c r="I215" s="18">
        <v>97795.230000000025</v>
      </c>
      <c r="J215" s="18">
        <v>67523.899999999994</v>
      </c>
      <c r="K215" s="18">
        <v>873</v>
      </c>
      <c r="L215" s="19">
        <f>SUM(F215:K215)</f>
        <v>4862650.6937000006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1303100.8500999999</v>
      </c>
      <c r="G216" s="18">
        <v>684555.76679999998</v>
      </c>
      <c r="H216" s="18">
        <v>153380.52140000003</v>
      </c>
      <c r="I216" s="18">
        <v>13883.1847</v>
      </c>
      <c r="J216" s="18"/>
      <c r="K216" s="18">
        <v>2013</v>
      </c>
      <c r="L216" s="19">
        <f>SUM(F216:K216)</f>
        <v>2156933.3229999999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207161</v>
      </c>
      <c r="G217" s="18">
        <v>67549.070000000007</v>
      </c>
      <c r="H217" s="18">
        <v>3535.7060000000001</v>
      </c>
      <c r="I217" s="18">
        <v>12791.189999999999</v>
      </c>
      <c r="J217" s="18">
        <v>1069.8499999999999</v>
      </c>
      <c r="K217" s="18"/>
      <c r="L217" s="19">
        <f>SUM(F217:K217)</f>
        <v>292106.81599999999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97393.17</v>
      </c>
      <c r="G218" s="18">
        <v>16887.27</v>
      </c>
      <c r="H218" s="18">
        <v>16421</v>
      </c>
      <c r="I218" s="18">
        <v>13001.3</v>
      </c>
      <c r="J218" s="18">
        <v>1883.55</v>
      </c>
      <c r="K218" s="18">
        <v>6226.26</v>
      </c>
      <c r="L218" s="19">
        <f>SUM(F218:K218)</f>
        <v>151812.54999999999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319770.21799999999</v>
      </c>
      <c r="G220" s="18">
        <v>173071.95</v>
      </c>
      <c r="H220" s="18">
        <v>33659.675700000007</v>
      </c>
      <c r="I220" s="18">
        <v>4786.97</v>
      </c>
      <c r="J220" s="18">
        <v>4492.3725000000004</v>
      </c>
      <c r="K220" s="18"/>
      <c r="L220" s="19">
        <f t="shared" ref="L220:L226" si="2">SUM(F220:K220)</f>
        <v>535781.1862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136115.73120000001</v>
      </c>
      <c r="G221" s="18">
        <v>48826.86</v>
      </c>
      <c r="H221" s="18">
        <v>94583.399900000004</v>
      </c>
      <c r="I221" s="18">
        <v>66618.394499999995</v>
      </c>
      <c r="J221" s="18"/>
      <c r="K221" s="18">
        <v>99</v>
      </c>
      <c r="L221" s="19">
        <f t="shared" si="2"/>
        <v>346243.38560000004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345614.85750000004</v>
      </c>
      <c r="G222" s="18">
        <v>89586.225000000006</v>
      </c>
      <c r="H222" s="18">
        <v>95171.561099999992</v>
      </c>
      <c r="I222" s="145">
        <v>52368.383100000006</v>
      </c>
      <c r="J222" s="18">
        <v>1625</v>
      </c>
      <c r="K222" s="18">
        <v>5876.1516000000001</v>
      </c>
      <c r="L222" s="19">
        <f t="shared" si="2"/>
        <v>590242.17830000003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433578.03999999992</v>
      </c>
      <c r="G223" s="18">
        <v>272176.92000000004</v>
      </c>
      <c r="H223" s="18">
        <v>21481.439999999999</v>
      </c>
      <c r="I223" s="18">
        <v>3562.25</v>
      </c>
      <c r="J223" s="18"/>
      <c r="K223" s="18">
        <v>6244.34</v>
      </c>
      <c r="L223" s="19">
        <f t="shared" si="2"/>
        <v>737042.98999999987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261875.29</v>
      </c>
      <c r="G225" s="18">
        <v>103751.9287</v>
      </c>
      <c r="H225" s="18">
        <v>494085.0085</v>
      </c>
      <c r="I225" s="18">
        <v>246668.39049999998</v>
      </c>
      <c r="J225" s="18">
        <v>16227.6576</v>
      </c>
      <c r="K225" s="18"/>
      <c r="L225" s="19">
        <f t="shared" si="2"/>
        <v>1122608.2753000001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732127.88549999997</v>
      </c>
      <c r="I226" s="18">
        <v>66206.444700000007</v>
      </c>
      <c r="J226" s="18"/>
      <c r="K226" s="18"/>
      <c r="L226" s="19">
        <f t="shared" si="2"/>
        <v>798334.33019999997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6181406.1973000001</v>
      </c>
      <c r="G229" s="41">
        <f>SUM(G215:G228)</f>
        <v>3002123.7656999999</v>
      </c>
      <c r="H229" s="41">
        <f>SUM(H215:H228)</f>
        <v>1718389.9461000001</v>
      </c>
      <c r="I229" s="41">
        <f>SUM(I215:I228)</f>
        <v>577681.73750000005</v>
      </c>
      <c r="J229" s="41">
        <f>SUM(J215:J228)</f>
        <v>92822.330100000006</v>
      </c>
      <c r="K229" s="41">
        <f t="shared" si="3"/>
        <v>21331.7516</v>
      </c>
      <c r="L229" s="41">
        <f t="shared" si="3"/>
        <v>11593755.7283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2968187.7044999995</v>
      </c>
      <c r="G233" s="18">
        <v>1423771.6628000003</v>
      </c>
      <c r="H233" s="18">
        <v>67500.403999999995</v>
      </c>
      <c r="I233" s="18">
        <v>89639.959999999992</v>
      </c>
      <c r="J233" s="18">
        <v>82523.83</v>
      </c>
      <c r="K233" s="18">
        <v>3263</v>
      </c>
      <c r="L233" s="19">
        <f>SUM(F233:K233)</f>
        <v>4634886.5613000002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1770154.2589000002</v>
      </c>
      <c r="G234" s="18">
        <v>930840.12519999989</v>
      </c>
      <c r="H234" s="18">
        <v>1333903.2346000001</v>
      </c>
      <c r="I234" s="18">
        <v>21282.9683</v>
      </c>
      <c r="J234" s="18"/>
      <c r="K234" s="18">
        <v>2257</v>
      </c>
      <c r="L234" s="19">
        <f>SUM(F234:K234)</f>
        <v>4058437.5870000003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377749.8</v>
      </c>
      <c r="G235" s="18">
        <v>201466.55</v>
      </c>
      <c r="H235" s="18">
        <v>2155.37</v>
      </c>
      <c r="I235" s="18">
        <v>26158.600000000002</v>
      </c>
      <c r="J235" s="18">
        <v>2499</v>
      </c>
      <c r="K235" s="18"/>
      <c r="L235" s="19">
        <f>SUM(F235:K235)</f>
        <v>610029.31999999995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342070.67000000004</v>
      </c>
      <c r="G236" s="18">
        <v>136068.91999999998</v>
      </c>
      <c r="H236" s="18">
        <v>108380.15</v>
      </c>
      <c r="I236" s="18">
        <v>23155.99</v>
      </c>
      <c r="J236" s="18">
        <v>27920.400000000001</v>
      </c>
      <c r="K236" s="18">
        <v>56110.9</v>
      </c>
      <c r="L236" s="19">
        <f>SUM(F236:K236)</f>
        <v>693707.03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548129.10000000009</v>
      </c>
      <c r="G238" s="18">
        <v>362586.522</v>
      </c>
      <c r="H238" s="18">
        <v>53034.047300000006</v>
      </c>
      <c r="I238" s="18">
        <v>17551.04</v>
      </c>
      <c r="J238" s="18">
        <v>5236.9025000000001</v>
      </c>
      <c r="K238" s="18">
        <v>3825</v>
      </c>
      <c r="L238" s="19">
        <f t="shared" ref="L238:L244" si="4">SUM(F238:K238)</f>
        <v>990362.61180000007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105473.83679999999</v>
      </c>
      <c r="G239" s="18">
        <v>20381.18</v>
      </c>
      <c r="H239" s="18">
        <v>108534.21109999999</v>
      </c>
      <c r="I239" s="18">
        <v>76717.339500000002</v>
      </c>
      <c r="J239" s="18"/>
      <c r="K239" s="18"/>
      <c r="L239" s="19">
        <f t="shared" si="4"/>
        <v>311106.56739999994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387507.57120000001</v>
      </c>
      <c r="G240" s="18">
        <v>94896.604999999996</v>
      </c>
      <c r="H240" s="18">
        <v>106707.5079</v>
      </c>
      <c r="I240" s="145">
        <v>58716.102899999998</v>
      </c>
      <c r="J240" s="18"/>
      <c r="K240" s="18">
        <v>6588.4124000000002</v>
      </c>
      <c r="L240" s="19">
        <f t="shared" si="4"/>
        <v>654416.19940000004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607955.64</v>
      </c>
      <c r="G241" s="18">
        <v>280516.90000000002</v>
      </c>
      <c r="H241" s="18">
        <v>63583.49</v>
      </c>
      <c r="I241" s="18">
        <v>1273.98</v>
      </c>
      <c r="J241" s="18">
        <v>23947.83</v>
      </c>
      <c r="K241" s="18">
        <v>79255.83</v>
      </c>
      <c r="L241" s="19">
        <f t="shared" si="4"/>
        <v>1056533.67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287296.47000000003</v>
      </c>
      <c r="G243" s="18">
        <v>107084.85430000001</v>
      </c>
      <c r="H243" s="18">
        <v>635174.37869999988</v>
      </c>
      <c r="I243" s="18">
        <v>300415.12449999998</v>
      </c>
      <c r="J243" s="18">
        <v>37384.646399999998</v>
      </c>
      <c r="K243" s="18"/>
      <c r="L243" s="19">
        <f t="shared" si="4"/>
        <v>1367355.4738999999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696678.93499999994</v>
      </c>
      <c r="I244" s="18">
        <v>60187.676999999996</v>
      </c>
      <c r="J244" s="18"/>
      <c r="K244" s="18"/>
      <c r="L244" s="19">
        <f t="shared" si="4"/>
        <v>756866.61199999996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11364.93</v>
      </c>
      <c r="I245" s="18"/>
      <c r="J245" s="18"/>
      <c r="K245" s="18"/>
      <c r="L245" s="19">
        <f>SUM(F245:K245)</f>
        <v>11364.93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7394525.0513999984</v>
      </c>
      <c r="G247" s="41">
        <f t="shared" si="5"/>
        <v>3557613.3192999996</v>
      </c>
      <c r="H247" s="41">
        <f t="shared" si="5"/>
        <v>3187016.6586000002</v>
      </c>
      <c r="I247" s="41">
        <f t="shared" si="5"/>
        <v>675098.7821999999</v>
      </c>
      <c r="J247" s="41">
        <f t="shared" si="5"/>
        <v>179512.60890000002</v>
      </c>
      <c r="K247" s="41">
        <f t="shared" si="5"/>
        <v>151300.14240000001</v>
      </c>
      <c r="L247" s="41">
        <f t="shared" si="5"/>
        <v>15145066.562799998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20823796.1017</v>
      </c>
      <c r="G257" s="41">
        <f t="shared" si="8"/>
        <v>10272362.911999999</v>
      </c>
      <c r="H257" s="41">
        <f t="shared" si="8"/>
        <v>7088219.0862000007</v>
      </c>
      <c r="I257" s="41">
        <f t="shared" si="8"/>
        <v>1932006.7059999998</v>
      </c>
      <c r="J257" s="41">
        <f t="shared" si="8"/>
        <v>413678.62</v>
      </c>
      <c r="K257" s="41">
        <f t="shared" si="8"/>
        <v>195293.45</v>
      </c>
      <c r="L257" s="41">
        <f t="shared" si="8"/>
        <v>40725356.8759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360000</v>
      </c>
      <c r="L260" s="19">
        <f>SUM(F260:K260)</f>
        <v>360000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109755</v>
      </c>
      <c r="L261" s="19">
        <f>SUM(F261:K261)</f>
        <v>109755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209980.5</v>
      </c>
      <c r="L263" s="19">
        <f>SUM(F263:K263)</f>
        <v>209980.5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400000</v>
      </c>
      <c r="L266" s="19">
        <f t="shared" si="9"/>
        <v>400000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1079735.5</v>
      </c>
      <c r="L270" s="41">
        <f t="shared" si="9"/>
        <v>1079735.5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20823796.1017</v>
      </c>
      <c r="G271" s="42">
        <f t="shared" si="11"/>
        <v>10272362.911999999</v>
      </c>
      <c r="H271" s="42">
        <f t="shared" si="11"/>
        <v>7088219.0862000007</v>
      </c>
      <c r="I271" s="42">
        <f t="shared" si="11"/>
        <v>1932006.7059999998</v>
      </c>
      <c r="J271" s="42">
        <f t="shared" si="11"/>
        <v>413678.62</v>
      </c>
      <c r="K271" s="42">
        <f t="shared" si="11"/>
        <v>1275028.95</v>
      </c>
      <c r="L271" s="42">
        <f t="shared" si="11"/>
        <v>41805092.3759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285127.84000000003</v>
      </c>
      <c r="G276" s="18">
        <v>64432.19</v>
      </c>
      <c r="H276" s="18">
        <v>1050</v>
      </c>
      <c r="I276" s="18">
        <v>1588.42</v>
      </c>
      <c r="J276" s="18"/>
      <c r="K276" s="18">
        <v>3584.46</v>
      </c>
      <c r="L276" s="19">
        <f>SUM(F276:K276)</f>
        <v>355782.91000000003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220030.96000000002</v>
      </c>
      <c r="G277" s="18">
        <v>93382.049999999988</v>
      </c>
      <c r="H277" s="18">
        <v>24072.6495</v>
      </c>
      <c r="I277" s="18">
        <v>1046.49</v>
      </c>
      <c r="J277" s="18">
        <v>22101.14</v>
      </c>
      <c r="K277" s="18"/>
      <c r="L277" s="19">
        <f>SUM(F277:K277)</f>
        <v>360633.28950000001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25274.21</v>
      </c>
      <c r="I281" s="18">
        <v>1767.2800000000002</v>
      </c>
      <c r="J281" s="18">
        <v>588.21</v>
      </c>
      <c r="K281" s="18"/>
      <c r="L281" s="19">
        <f t="shared" ref="L281:L287" si="12">SUM(F281:K281)</f>
        <v>27629.699999999997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113237.77420000001</v>
      </c>
      <c r="I282" s="18"/>
      <c r="J282" s="18"/>
      <c r="K282" s="18"/>
      <c r="L282" s="19">
        <f t="shared" si="12"/>
        <v>113237.77420000001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3861</v>
      </c>
      <c r="G284" s="18">
        <v>883.26</v>
      </c>
      <c r="H284" s="18"/>
      <c r="I284" s="18"/>
      <c r="J284" s="18"/>
      <c r="K284" s="18"/>
      <c r="L284" s="19">
        <f t="shared" si="12"/>
        <v>4744.26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7738.5</v>
      </c>
      <c r="I287" s="18"/>
      <c r="J287" s="18"/>
      <c r="K287" s="18"/>
      <c r="L287" s="19">
        <f t="shared" si="12"/>
        <v>7738.5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509019.80000000005</v>
      </c>
      <c r="G290" s="42">
        <f t="shared" si="13"/>
        <v>158697.5</v>
      </c>
      <c r="H290" s="42">
        <f t="shared" si="13"/>
        <v>171373.13370000001</v>
      </c>
      <c r="I290" s="42">
        <f t="shared" si="13"/>
        <v>4402.1900000000005</v>
      </c>
      <c r="J290" s="42">
        <f t="shared" si="13"/>
        <v>22689.35</v>
      </c>
      <c r="K290" s="42">
        <f t="shared" si="13"/>
        <v>3584.46</v>
      </c>
      <c r="L290" s="41">
        <f t="shared" si="13"/>
        <v>869766.43370000005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72381.22</v>
      </c>
      <c r="G296" s="18">
        <v>41669.410000000003</v>
      </c>
      <c r="H296" s="18">
        <v>12315.6495</v>
      </c>
      <c r="I296" s="18"/>
      <c r="J296" s="18"/>
      <c r="K296" s="18"/>
      <c r="L296" s="19">
        <f>SUM(F296:K296)</f>
        <v>126366.2795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102854.3042</v>
      </c>
      <c r="I301" s="18"/>
      <c r="J301" s="18"/>
      <c r="K301" s="18"/>
      <c r="L301" s="19">
        <f t="shared" si="14"/>
        <v>102854.3042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72381.22</v>
      </c>
      <c r="G309" s="42">
        <f t="shared" si="15"/>
        <v>41669.410000000003</v>
      </c>
      <c r="H309" s="42">
        <f t="shared" si="15"/>
        <v>115169.9537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229220.58370000002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6200</v>
      </c>
      <c r="G314" s="18">
        <v>1445.84</v>
      </c>
      <c r="H314" s="18">
        <v>3385</v>
      </c>
      <c r="I314" s="18">
        <v>1649.87</v>
      </c>
      <c r="J314" s="18"/>
      <c r="K314" s="18"/>
      <c r="L314" s="19">
        <f>SUM(F314:K314)</f>
        <v>12680.71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v>14696.251000000002</v>
      </c>
      <c r="I315" s="18"/>
      <c r="J315" s="18"/>
      <c r="K315" s="18"/>
      <c r="L315" s="19">
        <f>SUM(F315:K315)</f>
        <v>14696.251000000002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1000</v>
      </c>
      <c r="G316" s="18">
        <v>233.2</v>
      </c>
      <c r="H316" s="18">
        <v>3553.7</v>
      </c>
      <c r="I316" s="18">
        <v>6042.61</v>
      </c>
      <c r="J316" s="18">
        <v>64219.490000000005</v>
      </c>
      <c r="K316" s="18">
        <v>2658.14</v>
      </c>
      <c r="L316" s="19">
        <f>SUM(F316:K316)</f>
        <v>77707.14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1625</v>
      </c>
      <c r="G317" s="18">
        <v>155.26</v>
      </c>
      <c r="H317" s="18"/>
      <c r="I317" s="18"/>
      <c r="J317" s="18"/>
      <c r="K317" s="18">
        <v>1200</v>
      </c>
      <c r="L317" s="19">
        <f>SUM(F317:K317)</f>
        <v>2980.26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600</v>
      </c>
      <c r="G320" s="18"/>
      <c r="H320" s="18">
        <v>94464.965400000016</v>
      </c>
      <c r="I320" s="18"/>
      <c r="J320" s="18"/>
      <c r="K320" s="18"/>
      <c r="L320" s="19">
        <f t="shared" si="16"/>
        <v>95064.965400000016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9425</v>
      </c>
      <c r="G328" s="42">
        <f t="shared" si="17"/>
        <v>1834.3</v>
      </c>
      <c r="H328" s="42">
        <f t="shared" si="17"/>
        <v>116099.91640000002</v>
      </c>
      <c r="I328" s="42">
        <f t="shared" si="17"/>
        <v>7692.48</v>
      </c>
      <c r="J328" s="42">
        <f t="shared" si="17"/>
        <v>64219.490000000005</v>
      </c>
      <c r="K328" s="42">
        <f t="shared" si="17"/>
        <v>3858.14</v>
      </c>
      <c r="L328" s="41">
        <f t="shared" si="17"/>
        <v>203129.32640000002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590826.02</v>
      </c>
      <c r="G338" s="41">
        <f t="shared" si="20"/>
        <v>202201.21</v>
      </c>
      <c r="H338" s="41">
        <f t="shared" si="20"/>
        <v>402643.00380000006</v>
      </c>
      <c r="I338" s="41">
        <f t="shared" si="20"/>
        <v>12094.67</v>
      </c>
      <c r="J338" s="41">
        <f t="shared" si="20"/>
        <v>86908.84</v>
      </c>
      <c r="K338" s="41">
        <f t="shared" si="20"/>
        <v>7442.6</v>
      </c>
      <c r="L338" s="41">
        <f t="shared" si="20"/>
        <v>1302116.3437999999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18673.41</v>
      </c>
      <c r="L344" s="19">
        <f t="shared" ref="L344:L350" si="21">SUM(F344:K344)</f>
        <v>18673.41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18673.41</v>
      </c>
      <c r="L351" s="41">
        <f>SUM(L341:L350)</f>
        <v>18673.41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590826.02</v>
      </c>
      <c r="G352" s="41">
        <f>G338</f>
        <v>202201.21</v>
      </c>
      <c r="H352" s="41">
        <f>H338</f>
        <v>402643.00380000006</v>
      </c>
      <c r="I352" s="41">
        <f>I338</f>
        <v>12094.67</v>
      </c>
      <c r="J352" s="41">
        <f>J338</f>
        <v>86908.84</v>
      </c>
      <c r="K352" s="47">
        <f>K338+K351</f>
        <v>26116.010000000002</v>
      </c>
      <c r="L352" s="41">
        <f>L338+L351</f>
        <v>1320789.7537999998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310367.09400000004</v>
      </c>
      <c r="I358" s="18">
        <v>153.49499999999998</v>
      </c>
      <c r="J358" s="18">
        <v>5629.2779999999993</v>
      </c>
      <c r="K358" s="18"/>
      <c r="L358" s="13">
        <f>SUM(F358:K358)</f>
        <v>316149.86700000003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341403.80340000003</v>
      </c>
      <c r="I359" s="18">
        <v>168.84450000000001</v>
      </c>
      <c r="J359" s="18">
        <v>6192.2057999999997</v>
      </c>
      <c r="K359" s="18"/>
      <c r="L359" s="19">
        <f>SUM(F359:K359)</f>
        <v>347764.85370000004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382866.07259999996</v>
      </c>
      <c r="I360" s="18">
        <v>189.31049999999999</v>
      </c>
      <c r="J360" s="18">
        <v>6942.7761999999993</v>
      </c>
      <c r="K360" s="18"/>
      <c r="L360" s="19">
        <f>SUM(F360:K360)</f>
        <v>389998.1593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1034636.9700000001</v>
      </c>
      <c r="I362" s="47">
        <f t="shared" si="22"/>
        <v>511.65</v>
      </c>
      <c r="J362" s="47">
        <f t="shared" si="22"/>
        <v>18764.259999999998</v>
      </c>
      <c r="K362" s="47">
        <f t="shared" si="22"/>
        <v>0</v>
      </c>
      <c r="L362" s="47">
        <f t="shared" si="22"/>
        <v>1053912.8800000001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153.49499999999998</v>
      </c>
      <c r="G368" s="63">
        <v>168.84450000000001</v>
      </c>
      <c r="H368" s="63">
        <v>189.31049999999999</v>
      </c>
      <c r="I368" s="56">
        <f>SUM(F368:H368)</f>
        <v>511.65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153.49499999999998</v>
      </c>
      <c r="G369" s="47">
        <f>SUM(G367:G368)</f>
        <v>168.84450000000001</v>
      </c>
      <c r="H369" s="47">
        <f>SUM(H367:H368)</f>
        <v>189.31049999999999</v>
      </c>
      <c r="I369" s="47">
        <f>SUM(I367:I368)</f>
        <v>511.65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>
        <v>100000</v>
      </c>
      <c r="H395" s="18">
        <v>81.61</v>
      </c>
      <c r="I395" s="18"/>
      <c r="J395" s="24" t="s">
        <v>289</v>
      </c>
      <c r="K395" s="24" t="s">
        <v>289</v>
      </c>
      <c r="L395" s="56">
        <f t="shared" ref="L395:L400" si="26">SUM(F395:K395)</f>
        <v>100081.61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>
        <v>309.91000000000003</v>
      </c>
      <c r="I396" s="18"/>
      <c r="J396" s="24" t="s">
        <v>289</v>
      </c>
      <c r="K396" s="24" t="s">
        <v>289</v>
      </c>
      <c r="L396" s="56">
        <f t="shared" si="26"/>
        <v>100309.91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100000</v>
      </c>
      <c r="H397" s="18">
        <v>976.11</v>
      </c>
      <c r="I397" s="18"/>
      <c r="J397" s="24" t="s">
        <v>289</v>
      </c>
      <c r="K397" s="24" t="s">
        <v>289</v>
      </c>
      <c r="L397" s="56">
        <f t="shared" si="26"/>
        <v>100976.11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100000</v>
      </c>
      <c r="H400" s="18">
        <v>6.93</v>
      </c>
      <c r="I400" s="18"/>
      <c r="J400" s="24" t="s">
        <v>289</v>
      </c>
      <c r="K400" s="24" t="s">
        <v>289</v>
      </c>
      <c r="L400" s="56">
        <f t="shared" si="26"/>
        <v>100006.93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400000</v>
      </c>
      <c r="H401" s="47">
        <f>SUM(H395:H400)</f>
        <v>1374.5600000000002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401374.56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400000</v>
      </c>
      <c r="H408" s="47">
        <f>H393+H401+H407</f>
        <v>1374.5600000000002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401374.56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746534.39999999991</v>
      </c>
      <c r="G440" s="18">
        <v>717906.35</v>
      </c>
      <c r="H440" s="18"/>
      <c r="I440" s="56">
        <f t="shared" si="33"/>
        <v>1464440.75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746534.39999999991</v>
      </c>
      <c r="G446" s="13">
        <f>SUM(G439:G445)</f>
        <v>717906.35</v>
      </c>
      <c r="H446" s="13">
        <f>SUM(H439:H445)</f>
        <v>0</v>
      </c>
      <c r="I446" s="13">
        <f>SUM(I439:I445)</f>
        <v>1464440.75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746534.39999999991</v>
      </c>
      <c r="G459" s="18">
        <v>717906.35</v>
      </c>
      <c r="H459" s="18"/>
      <c r="I459" s="56">
        <f t="shared" si="34"/>
        <v>1464440.75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746534.39999999991</v>
      </c>
      <c r="G460" s="83">
        <f>SUM(G454:G459)</f>
        <v>717906.35</v>
      </c>
      <c r="H460" s="83">
        <f>SUM(H454:H459)</f>
        <v>0</v>
      </c>
      <c r="I460" s="83">
        <f>SUM(I454:I459)</f>
        <v>1464440.75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746534.39999999991</v>
      </c>
      <c r="G461" s="42">
        <f>G452+G460</f>
        <v>717906.35</v>
      </c>
      <c r="H461" s="42">
        <f>H452+H460</f>
        <v>0</v>
      </c>
      <c r="I461" s="42">
        <f>I452+I460</f>
        <v>1464440.75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2487757.2999999998</v>
      </c>
      <c r="G465" s="18">
        <v>-92035.38</v>
      </c>
      <c r="H465" s="18"/>
      <c r="I465" s="18"/>
      <c r="J465" s="18">
        <v>1063066.19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42671569.32</v>
      </c>
      <c r="G468" s="18">
        <f>G193</f>
        <v>1120263.42</v>
      </c>
      <c r="H468" s="18">
        <v>1320789.7499999998</v>
      </c>
      <c r="I468" s="18"/>
      <c r="J468" s="18">
        <v>401374.56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42671569.32</v>
      </c>
      <c r="G470" s="53">
        <f>SUM(G468:G469)</f>
        <v>1120263.42</v>
      </c>
      <c r="H470" s="53">
        <f>SUM(H468:H469)</f>
        <v>1320789.7499999998</v>
      </c>
      <c r="I470" s="53">
        <f>SUM(I468:I469)</f>
        <v>0</v>
      </c>
      <c r="J470" s="53">
        <f>SUM(J468:J469)</f>
        <v>401374.56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41805092.3759</v>
      </c>
      <c r="G472" s="18">
        <f>L362</f>
        <v>1053912.8800000001</v>
      </c>
      <c r="H472" s="18">
        <v>1320789.7537999998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17746.38</v>
      </c>
      <c r="G473" s="18">
        <v>126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41822838.755900003</v>
      </c>
      <c r="G474" s="53">
        <f>SUM(G472:G473)</f>
        <v>1054038.8800000001</v>
      </c>
      <c r="H474" s="53">
        <f>SUM(H472:H473)</f>
        <v>1320789.7537999998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3336487.8640999943</v>
      </c>
      <c r="G476" s="53">
        <f>(G465+G470)- G474</f>
        <v>-25810.8400000002</v>
      </c>
      <c r="H476" s="53">
        <f>(H465+H470)- H474</f>
        <v>-3.8000000640749931E-3</v>
      </c>
      <c r="I476" s="53">
        <f>(I465+I470)- I474</f>
        <v>0</v>
      </c>
      <c r="J476" s="53">
        <f>(J465+J470)- J474</f>
        <v>1464440.75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918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3575000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1.6918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2855000</v>
      </c>
      <c r="G495" s="18"/>
      <c r="H495" s="18"/>
      <c r="I495" s="18"/>
      <c r="J495" s="18"/>
      <c r="K495" s="53">
        <f>SUM(F495:J495)</f>
        <v>2855000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360000</v>
      </c>
      <c r="G497" s="18"/>
      <c r="H497" s="18"/>
      <c r="I497" s="18"/>
      <c r="J497" s="18"/>
      <c r="K497" s="53">
        <f t="shared" si="35"/>
        <v>360000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2495000</v>
      </c>
      <c r="G498" s="204"/>
      <c r="H498" s="204"/>
      <c r="I498" s="204"/>
      <c r="J498" s="204"/>
      <c r="K498" s="205">
        <f t="shared" si="35"/>
        <v>2495000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425655</v>
      </c>
      <c r="G499" s="18"/>
      <c r="H499" s="18"/>
      <c r="I499" s="18"/>
      <c r="J499" s="18"/>
      <c r="K499" s="53">
        <f t="shared" si="35"/>
        <v>425655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2920655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2920655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360000</v>
      </c>
      <c r="G501" s="204"/>
      <c r="H501" s="204"/>
      <c r="I501" s="204"/>
      <c r="J501" s="204"/>
      <c r="K501" s="205">
        <f t="shared" si="35"/>
        <v>360000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98595</v>
      </c>
      <c r="G502" s="18"/>
      <c r="H502" s="18"/>
      <c r="I502" s="18"/>
      <c r="J502" s="18"/>
      <c r="K502" s="53">
        <f t="shared" si="35"/>
        <v>98595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458595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458595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1447185.0820000002</v>
      </c>
      <c r="G521" s="18">
        <v>214178.538</v>
      </c>
      <c r="H521" s="18">
        <v>210533.57550000001</v>
      </c>
      <c r="I521" s="18">
        <v>12274.83</v>
      </c>
      <c r="J521" s="18">
        <v>22101.14</v>
      </c>
      <c r="K521" s="18"/>
      <c r="L521" s="88">
        <f>SUM(F521:K521)</f>
        <v>1906273.1655000001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1180464.1816</v>
      </c>
      <c r="G522" s="18">
        <v>443168.19640000002</v>
      </c>
      <c r="H522" s="18">
        <v>157955.85830000002</v>
      </c>
      <c r="I522" s="18">
        <v>18092.496000000003</v>
      </c>
      <c r="J522" s="18">
        <v>882.96</v>
      </c>
      <c r="K522" s="18"/>
      <c r="L522" s="88">
        <f>SUM(F522:K522)</f>
        <v>1800563.6923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1289841.4164</v>
      </c>
      <c r="G523" s="18">
        <v>144955.7856</v>
      </c>
      <c r="H523" s="18">
        <v>1371122.1761999999</v>
      </c>
      <c r="I523" s="18">
        <v>16591.813999999998</v>
      </c>
      <c r="J523" s="18">
        <v>0</v>
      </c>
      <c r="K523" s="18"/>
      <c r="L523" s="88">
        <f>SUM(F523:K523)</f>
        <v>2822511.1921999999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3917490.68</v>
      </c>
      <c r="G524" s="108">
        <f t="shared" ref="G524:L524" si="36">SUM(G521:G523)</f>
        <v>802302.52</v>
      </c>
      <c r="H524" s="108">
        <f t="shared" si="36"/>
        <v>1739611.6099999999</v>
      </c>
      <c r="I524" s="108">
        <f t="shared" si="36"/>
        <v>46959.14</v>
      </c>
      <c r="J524" s="108">
        <f t="shared" si="36"/>
        <v>22984.1</v>
      </c>
      <c r="K524" s="108">
        <f t="shared" si="36"/>
        <v>0</v>
      </c>
      <c r="L524" s="89">
        <f t="shared" si="36"/>
        <v>6529348.0500000007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285001.26899999997</v>
      </c>
      <c r="G526" s="18">
        <v>108621.92700000001</v>
      </c>
      <c r="H526" s="18">
        <v>7745.5319999999992</v>
      </c>
      <c r="I526" s="18">
        <v>2777.2859999999996</v>
      </c>
      <c r="J526" s="18"/>
      <c r="K526" s="18">
        <v>225</v>
      </c>
      <c r="L526" s="88">
        <f>SUM(F526:K526)</f>
        <v>404371.01400000002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323001.43820000003</v>
      </c>
      <c r="G527" s="18">
        <v>123104.85060000002</v>
      </c>
      <c r="H527" s="18">
        <v>8778.2695999999996</v>
      </c>
      <c r="I527" s="18">
        <v>3147.5907999999999</v>
      </c>
      <c r="J527" s="18"/>
      <c r="K527" s="18"/>
      <c r="L527" s="88">
        <f>SUM(F527:K527)</f>
        <v>458032.14920000004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342001.52279999998</v>
      </c>
      <c r="G528" s="18">
        <v>130346.31240000001</v>
      </c>
      <c r="H528" s="18">
        <v>9294.6383999999998</v>
      </c>
      <c r="I528" s="18">
        <v>3332.7431999999994</v>
      </c>
      <c r="J528" s="18"/>
      <c r="K528" s="18"/>
      <c r="L528" s="88">
        <f>SUM(F528:K528)</f>
        <v>484975.21679999999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950004.23</v>
      </c>
      <c r="G529" s="89">
        <f t="shared" ref="G529:L529" si="37">SUM(G526:G528)</f>
        <v>362073.09</v>
      </c>
      <c r="H529" s="89">
        <f t="shared" si="37"/>
        <v>25818.44</v>
      </c>
      <c r="I529" s="89">
        <f t="shared" si="37"/>
        <v>9257.619999999999</v>
      </c>
      <c r="J529" s="89">
        <f t="shared" si="37"/>
        <v>0</v>
      </c>
      <c r="K529" s="89">
        <f t="shared" si="37"/>
        <v>225</v>
      </c>
      <c r="L529" s="89">
        <f t="shared" si="37"/>
        <v>1347378.3800000001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76308.494999999995</v>
      </c>
      <c r="G531" s="18">
        <v>13732.676999999998</v>
      </c>
      <c r="H531" s="18">
        <v>625</v>
      </c>
      <c r="I531" s="18"/>
      <c r="J531" s="18"/>
      <c r="K531" s="18">
        <v>1762.5</v>
      </c>
      <c r="L531" s="88">
        <f>SUM(F531:K531)</f>
        <v>92428.671999999991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86482.96100000001</v>
      </c>
      <c r="G532" s="18">
        <v>15563.7006</v>
      </c>
      <c r="H532" s="18">
        <v>4181.55</v>
      </c>
      <c r="I532" s="18"/>
      <c r="J532" s="18"/>
      <c r="K532" s="18">
        <v>1997.5000000000002</v>
      </c>
      <c r="L532" s="88">
        <f>SUM(F532:K532)</f>
        <v>108225.71160000001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220468.04399999999</v>
      </c>
      <c r="G533" s="18">
        <v>349950.96240000002</v>
      </c>
      <c r="H533" s="18">
        <v>6296.44</v>
      </c>
      <c r="I533" s="18"/>
      <c r="J533" s="18"/>
      <c r="K533" s="18">
        <v>2115</v>
      </c>
      <c r="L533" s="88">
        <f>SUM(F533:K533)</f>
        <v>578830.44640000002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383259.5</v>
      </c>
      <c r="G534" s="89">
        <f t="shared" ref="G534:L534" si="38">SUM(G531:G533)</f>
        <v>379247.34</v>
      </c>
      <c r="H534" s="89">
        <f t="shared" si="38"/>
        <v>11102.99</v>
      </c>
      <c r="I534" s="89">
        <f t="shared" si="38"/>
        <v>0</v>
      </c>
      <c r="J534" s="89">
        <f t="shared" si="38"/>
        <v>0</v>
      </c>
      <c r="K534" s="89">
        <f t="shared" si="38"/>
        <v>5875</v>
      </c>
      <c r="L534" s="89">
        <f t="shared" si="38"/>
        <v>779484.83000000007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22386.999</v>
      </c>
      <c r="I536" s="18"/>
      <c r="J536" s="18"/>
      <c r="K536" s="18"/>
      <c r="L536" s="88">
        <f>SUM(F536:K536)</f>
        <v>22386.999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25371.932200000003</v>
      </c>
      <c r="I537" s="18"/>
      <c r="J537" s="18"/>
      <c r="K537" s="18"/>
      <c r="L537" s="88">
        <f>SUM(F537:K537)</f>
        <v>25371.932200000003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26864.398799999999</v>
      </c>
      <c r="I538" s="18"/>
      <c r="J538" s="18"/>
      <c r="K538" s="18"/>
      <c r="L538" s="88">
        <f>SUM(F538:K538)</f>
        <v>26864.398799999999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74623.33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74623.33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287836.50399999996</v>
      </c>
      <c r="I541" s="18"/>
      <c r="J541" s="18"/>
      <c r="K541" s="18"/>
      <c r="L541" s="88">
        <f>SUM(F541:K541)</f>
        <v>287836.50399999996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257150.16099999999</v>
      </c>
      <c r="I542" s="18"/>
      <c r="J542" s="18"/>
      <c r="K542" s="18"/>
      <c r="L542" s="88">
        <f>SUM(F542:K542)</f>
        <v>257150.16099999999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233380.94999999998</v>
      </c>
      <c r="I543" s="18"/>
      <c r="J543" s="18"/>
      <c r="K543" s="18"/>
      <c r="L543" s="88">
        <f>SUM(F543:K543)</f>
        <v>233380.94999999998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778367.61499999987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778367.61499999987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5250754.41</v>
      </c>
      <c r="G545" s="89">
        <f t="shared" ref="G545:L545" si="41">G524+G529+G534+G539+G544</f>
        <v>1543622.9500000002</v>
      </c>
      <c r="H545" s="89">
        <f t="shared" si="41"/>
        <v>2629523.9849999999</v>
      </c>
      <c r="I545" s="89">
        <f t="shared" si="41"/>
        <v>56216.759999999995</v>
      </c>
      <c r="J545" s="89">
        <f t="shared" si="41"/>
        <v>22984.1</v>
      </c>
      <c r="K545" s="89">
        <f t="shared" si="41"/>
        <v>6100</v>
      </c>
      <c r="L545" s="89">
        <f t="shared" si="41"/>
        <v>9509202.2050000019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1906273.1655000001</v>
      </c>
      <c r="G549" s="87">
        <f>L526</f>
        <v>404371.01400000002</v>
      </c>
      <c r="H549" s="87">
        <f>L531</f>
        <v>92428.671999999991</v>
      </c>
      <c r="I549" s="87">
        <f>L536</f>
        <v>22386.999</v>
      </c>
      <c r="J549" s="87">
        <f>L541</f>
        <v>287836.50399999996</v>
      </c>
      <c r="K549" s="87">
        <f>SUM(F549:J549)</f>
        <v>2713296.3544999994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1800563.6923</v>
      </c>
      <c r="G550" s="87">
        <f>L527</f>
        <v>458032.14920000004</v>
      </c>
      <c r="H550" s="87">
        <f>L532</f>
        <v>108225.71160000001</v>
      </c>
      <c r="I550" s="87">
        <f>L537</f>
        <v>25371.932200000003</v>
      </c>
      <c r="J550" s="87">
        <f>L542</f>
        <v>257150.16099999999</v>
      </c>
      <c r="K550" s="87">
        <f>SUM(F550:J550)</f>
        <v>2649343.6463000001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2822511.1921999999</v>
      </c>
      <c r="G551" s="87">
        <f>L528</f>
        <v>484975.21679999999</v>
      </c>
      <c r="H551" s="87">
        <f>L533</f>
        <v>578830.44640000002</v>
      </c>
      <c r="I551" s="87">
        <f>L538</f>
        <v>26864.398799999999</v>
      </c>
      <c r="J551" s="87">
        <f>L543</f>
        <v>233380.94999999998</v>
      </c>
      <c r="K551" s="87">
        <f>SUM(F551:J551)</f>
        <v>4146562.2042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6529348.0500000007</v>
      </c>
      <c r="G552" s="89">
        <f t="shared" si="42"/>
        <v>1347378.3800000001</v>
      </c>
      <c r="H552" s="89">
        <f t="shared" si="42"/>
        <v>779484.83000000007</v>
      </c>
      <c r="I552" s="89">
        <f t="shared" si="42"/>
        <v>74623.33</v>
      </c>
      <c r="J552" s="89">
        <f t="shared" si="42"/>
        <v>778367.61499999987</v>
      </c>
      <c r="K552" s="89">
        <f t="shared" si="42"/>
        <v>9509202.2050000001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17548.649999999998</v>
      </c>
      <c r="G562" s="18"/>
      <c r="H562" s="18">
        <v>1223.319</v>
      </c>
      <c r="I562" s="18">
        <v>711.54600000000005</v>
      </c>
      <c r="J562" s="18"/>
      <c r="K562" s="18"/>
      <c r="L562" s="88">
        <f>SUM(F562:K562)</f>
        <v>19483.514999999996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19888.47</v>
      </c>
      <c r="G563" s="18"/>
      <c r="H563" s="18">
        <v>1386.4282000000001</v>
      </c>
      <c r="I563" s="18">
        <v>806.41880000000015</v>
      </c>
      <c r="J563" s="18"/>
      <c r="K563" s="18"/>
      <c r="L563" s="88">
        <f>SUM(F563:K563)</f>
        <v>22081.316999999999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21058.38</v>
      </c>
      <c r="G564" s="18"/>
      <c r="H564" s="18">
        <v>1467.9828</v>
      </c>
      <c r="I564" s="18">
        <v>853.85520000000008</v>
      </c>
      <c r="J564" s="18"/>
      <c r="K564" s="18"/>
      <c r="L564" s="88">
        <f>SUM(F564:K564)</f>
        <v>23380.218000000004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58495.5</v>
      </c>
      <c r="G565" s="89">
        <f t="shared" si="44"/>
        <v>0</v>
      </c>
      <c r="H565" s="89">
        <f t="shared" si="44"/>
        <v>4077.7299999999996</v>
      </c>
      <c r="I565" s="89">
        <f t="shared" si="44"/>
        <v>2371.8200000000002</v>
      </c>
      <c r="J565" s="89">
        <f t="shared" si="44"/>
        <v>0</v>
      </c>
      <c r="K565" s="89">
        <f t="shared" si="44"/>
        <v>0</v>
      </c>
      <c r="L565" s="89">
        <f t="shared" si="44"/>
        <v>64945.05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58495.5</v>
      </c>
      <c r="G571" s="89">
        <f t="shared" ref="G571:L571" si="46">G560+G565+G570</f>
        <v>0</v>
      </c>
      <c r="H571" s="89">
        <f t="shared" si="46"/>
        <v>4077.7299999999996</v>
      </c>
      <c r="I571" s="89">
        <f t="shared" si="46"/>
        <v>2371.8200000000002</v>
      </c>
      <c r="J571" s="89">
        <f t="shared" si="46"/>
        <v>0</v>
      </c>
      <c r="K571" s="89">
        <f t="shared" si="46"/>
        <v>0</v>
      </c>
      <c r="L571" s="89">
        <f t="shared" si="46"/>
        <v>64945.05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45420.5</v>
      </c>
      <c r="I579" s="87">
        <f t="shared" si="47"/>
        <v>45420.5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163873.29</v>
      </c>
      <c r="G582" s="18">
        <v>49420.800000000003</v>
      </c>
      <c r="H582" s="18">
        <v>511067.25</v>
      </c>
      <c r="I582" s="87">
        <f t="shared" si="47"/>
        <v>724361.34000000008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757369.94000000006</v>
      </c>
      <c r="I583" s="87">
        <f t="shared" si="47"/>
        <v>757369.94000000006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541673.87549999997</v>
      </c>
      <c r="I591" s="18">
        <v>483545.6495</v>
      </c>
      <c r="J591" s="18">
        <v>439195.03499999997</v>
      </c>
      <c r="K591" s="104">
        <f t="shared" ref="K591:K597" si="48">SUM(H591:J591)</f>
        <v>1464414.5599999998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287836.50399999996</v>
      </c>
      <c r="I592" s="18">
        <v>257150.16099999999</v>
      </c>
      <c r="J592" s="18">
        <v>233380.94999999998</v>
      </c>
      <c r="K592" s="104">
        <f t="shared" si="48"/>
        <v>778367.61499999987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21934.61</v>
      </c>
      <c r="J594" s="18">
        <v>76792.81</v>
      </c>
      <c r="K594" s="104">
        <f t="shared" si="48"/>
        <v>98727.42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24049.200000000001</v>
      </c>
      <c r="I595" s="18">
        <v>35703.9</v>
      </c>
      <c r="J595" s="18">
        <v>7497.82</v>
      </c>
      <c r="K595" s="104">
        <f t="shared" si="48"/>
        <v>67250.920000000013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853559.57949999988</v>
      </c>
      <c r="I598" s="108">
        <f>SUM(I591:I597)</f>
        <v>798334.32050000003</v>
      </c>
      <c r="J598" s="108">
        <f>SUM(J591:J597)</f>
        <v>756866.61499999987</v>
      </c>
      <c r="K598" s="108">
        <f>SUM(K591:K597)</f>
        <v>2408760.5149999997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164033.03100000002</v>
      </c>
      <c r="I604" s="18">
        <v>92822.330100000006</v>
      </c>
      <c r="J604" s="18">
        <v>243732.09890000004</v>
      </c>
      <c r="K604" s="104">
        <f>SUM(H604:J604)</f>
        <v>500587.46000000008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164033.03100000002</v>
      </c>
      <c r="I605" s="108">
        <f>SUM(I602:I604)</f>
        <v>92822.330100000006</v>
      </c>
      <c r="J605" s="108">
        <f>SUM(J602:J604)</f>
        <v>243732.09890000004</v>
      </c>
      <c r="K605" s="108">
        <f>SUM(K602:K604)</f>
        <v>500587.46000000008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21519.3</v>
      </c>
      <c r="G611" s="18"/>
      <c r="H611" s="18">
        <v>19415.183999999997</v>
      </c>
      <c r="I611" s="18">
        <v>141.21899999999999</v>
      </c>
      <c r="J611" s="18"/>
      <c r="K611" s="18"/>
      <c r="L611" s="88">
        <f>SUM(F611:K611)</f>
        <v>41075.702999999994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24388.54</v>
      </c>
      <c r="G612" s="18"/>
      <c r="H612" s="18">
        <v>22003.875200000002</v>
      </c>
      <c r="I612" s="18">
        <v>160.04820000000001</v>
      </c>
      <c r="J612" s="18"/>
      <c r="K612" s="18"/>
      <c r="L612" s="88">
        <f>SUM(F612:K612)</f>
        <v>46552.463400000001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25823.16</v>
      </c>
      <c r="G613" s="18"/>
      <c r="H613" s="18">
        <v>23298.220799999999</v>
      </c>
      <c r="I613" s="18">
        <v>169.46279999999999</v>
      </c>
      <c r="J613" s="18"/>
      <c r="K613" s="18"/>
      <c r="L613" s="88">
        <f>SUM(F613:K613)</f>
        <v>49290.8436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71731</v>
      </c>
      <c r="G614" s="108">
        <f t="shared" si="49"/>
        <v>0</v>
      </c>
      <c r="H614" s="108">
        <f t="shared" si="49"/>
        <v>64717.279999999999</v>
      </c>
      <c r="I614" s="108">
        <f t="shared" si="49"/>
        <v>470.73</v>
      </c>
      <c r="J614" s="108">
        <f t="shared" si="49"/>
        <v>0</v>
      </c>
      <c r="K614" s="108">
        <f t="shared" si="49"/>
        <v>0</v>
      </c>
      <c r="L614" s="89">
        <f t="shared" si="49"/>
        <v>136919.00999999998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3744572.49</v>
      </c>
      <c r="H617" s="109">
        <f>SUM(F52)</f>
        <v>3744572.49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137069.16</v>
      </c>
      <c r="H618" s="109">
        <f>SUM(G52)</f>
        <v>137069.16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243301.41</v>
      </c>
      <c r="H619" s="109">
        <f>SUM(H52)</f>
        <v>243301.40999999997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1464440.75</v>
      </c>
      <c r="H621" s="109">
        <f>SUM(J52)</f>
        <v>1464440.75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3336487.8600000003</v>
      </c>
      <c r="H622" s="109">
        <f>F476</f>
        <v>3336487.8640999943</v>
      </c>
      <c r="I622" s="121" t="s">
        <v>101</v>
      </c>
      <c r="J622" s="109">
        <f t="shared" ref="J622:J655" si="50">G622-H622</f>
        <v>-4.0999939665198326E-3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-25810.839999999997</v>
      </c>
      <c r="H623" s="109">
        <f>G476</f>
        <v>-25810.8400000002</v>
      </c>
      <c r="I623" s="121" t="s">
        <v>102</v>
      </c>
      <c r="J623" s="109">
        <f t="shared" si="50"/>
        <v>2.0372681319713593E-10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-3.8000000640749931E-3</v>
      </c>
      <c r="I624" s="121" t="s">
        <v>103</v>
      </c>
      <c r="J624" s="109">
        <f t="shared" si="50"/>
        <v>3.8000000640749931E-3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1464440.75</v>
      </c>
      <c r="H626" s="109">
        <f>J476</f>
        <v>1464440.75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42671569.32</v>
      </c>
      <c r="H627" s="104">
        <f>SUM(F468)</f>
        <v>42671569.32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1120263.42</v>
      </c>
      <c r="H628" s="104">
        <f>SUM(G468)</f>
        <v>1120263.42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1320789.7499999998</v>
      </c>
      <c r="H629" s="104">
        <f>SUM(H468)</f>
        <v>1320789.7499999998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401374.56</v>
      </c>
      <c r="H631" s="104">
        <f>SUM(J468)</f>
        <v>401374.56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41805092.3759</v>
      </c>
      <c r="H632" s="104">
        <f>SUM(F472)</f>
        <v>41805092.3759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1320789.7537999998</v>
      </c>
      <c r="H633" s="104">
        <f>SUM(H472)</f>
        <v>1320789.7537999998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511.65</v>
      </c>
      <c r="H634" s="104">
        <f>I369</f>
        <v>511.65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1053912.8800000001</v>
      </c>
      <c r="H635" s="104">
        <f>SUM(G472)</f>
        <v>1053912.8800000001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401374.56</v>
      </c>
      <c r="H637" s="164">
        <f>SUM(J468)</f>
        <v>401374.56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746534.39999999991</v>
      </c>
      <c r="H639" s="104">
        <f>SUM(F461)</f>
        <v>746534.39999999991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717906.35</v>
      </c>
      <c r="H640" s="104">
        <f>SUM(G461)</f>
        <v>717906.35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1464440.75</v>
      </c>
      <c r="H642" s="104">
        <f>SUM(I461)</f>
        <v>1464440.75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1374.56</v>
      </c>
      <c r="H644" s="104">
        <f>H408</f>
        <v>1374.5600000000002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400000</v>
      </c>
      <c r="H645" s="104">
        <f>G408</f>
        <v>400000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401374.56</v>
      </c>
      <c r="H646" s="104">
        <f>L408</f>
        <v>401374.56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2408760.5149999997</v>
      </c>
      <c r="H647" s="104">
        <f>L208+L226+L244</f>
        <v>2408760.5199999996</v>
      </c>
      <c r="I647" s="140" t="s">
        <v>397</v>
      </c>
      <c r="J647" s="109">
        <f t="shared" si="50"/>
        <v>-4.999999888241291E-3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500587.46000000008</v>
      </c>
      <c r="H648" s="104">
        <f>(J257+J338)-(J255+J336)</f>
        <v>500587.45999999996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853559.57779999985</v>
      </c>
      <c r="H649" s="104">
        <f>H598</f>
        <v>853559.57949999988</v>
      </c>
      <c r="I649" s="140" t="s">
        <v>389</v>
      </c>
      <c r="J649" s="109">
        <f t="shared" si="50"/>
        <v>-1.7000000225380063E-3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798334.33019999997</v>
      </c>
      <c r="H650" s="104">
        <f>I598</f>
        <v>798334.32050000003</v>
      </c>
      <c r="I650" s="140" t="s">
        <v>390</v>
      </c>
      <c r="J650" s="109">
        <f t="shared" si="50"/>
        <v>9.6999999368563294E-3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756866.61199999996</v>
      </c>
      <c r="H651" s="104">
        <f>J598</f>
        <v>756866.61499999987</v>
      </c>
      <c r="I651" s="140" t="s">
        <v>391</v>
      </c>
      <c r="J651" s="109">
        <f t="shared" si="50"/>
        <v>-2.9999999096617103E-3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209980.5</v>
      </c>
      <c r="H652" s="104">
        <f>K263+K345</f>
        <v>209980.5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400000</v>
      </c>
      <c r="H655" s="104">
        <f>K266+K347</f>
        <v>400000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-2.9997527599334717E-4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15172450.885500003</v>
      </c>
      <c r="G660" s="19">
        <f>(L229+L309+L359)</f>
        <v>12170741.1657</v>
      </c>
      <c r="H660" s="19">
        <f>(L247+L328+L360)</f>
        <v>15738194.048499998</v>
      </c>
      <c r="I660" s="19">
        <f>SUM(F660:H660)</f>
        <v>43081386.099700004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139843.51133558984</v>
      </c>
      <c r="G661" s="19">
        <f>(L359/IF(SUM(L358:L360)=0,1,SUM(L358:L360))*(SUM(G97:G110)))</f>
        <v>153827.86246914882</v>
      </c>
      <c r="H661" s="19">
        <f>(L360/IF(SUM(L358:L360)=0,1,SUM(L358:L360))*(SUM(G97:G110)))</f>
        <v>172509.0461952613</v>
      </c>
      <c r="I661" s="19">
        <f>SUM(F661:H661)</f>
        <v>466180.41999999993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861298.07779999985</v>
      </c>
      <c r="G662" s="19">
        <f>(L226+L306)-(J226+J306)</f>
        <v>798334.33019999997</v>
      </c>
      <c r="H662" s="19">
        <f>(L244+L325)-(J244+J325)</f>
        <v>756866.61199999996</v>
      </c>
      <c r="I662" s="19">
        <f>SUM(F662:H662)</f>
        <v>2416499.0199999996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368982.02399999998</v>
      </c>
      <c r="G663" s="199">
        <f>SUM(G575:G587)+SUM(I602:I604)+L612</f>
        <v>188795.59350000002</v>
      </c>
      <c r="H663" s="199">
        <f>SUM(H575:H587)+SUM(J602:J604)+L613</f>
        <v>1606880.6325000001</v>
      </c>
      <c r="I663" s="19">
        <f>SUM(F663:H663)</f>
        <v>2164658.25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13802327.272364413</v>
      </c>
      <c r="G664" s="19">
        <f>G660-SUM(G661:G663)</f>
        <v>11029783.379530851</v>
      </c>
      <c r="H664" s="19">
        <f>H660-SUM(H661:H663)</f>
        <v>13201937.757804736</v>
      </c>
      <c r="I664" s="19">
        <f>I660-SUM(I661:I663)</f>
        <v>38034048.409700006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760.05</v>
      </c>
      <c r="G665" s="248">
        <v>652.91999999999996</v>
      </c>
      <c r="H665" s="248">
        <v>766.86</v>
      </c>
      <c r="I665" s="19">
        <f>SUM(F665:H665)</f>
        <v>2179.83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18159.759999999998</v>
      </c>
      <c r="G667" s="19">
        <f>ROUND(G664/G665,2)</f>
        <v>16893.009999999998</v>
      </c>
      <c r="H667" s="19">
        <f>ROUND(H664/H665,2)</f>
        <v>17215.580000000002</v>
      </c>
      <c r="I667" s="19">
        <f>ROUND(I664/I665,2)</f>
        <v>17448.169999999998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-1.89</v>
      </c>
      <c r="I670" s="19">
        <f>SUM(F670:H670)</f>
        <v>-1.89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18159.759999999998</v>
      </c>
      <c r="G672" s="19">
        <f>ROUND((G664+G669)/(G665+G670),2)</f>
        <v>16893.009999999998</v>
      </c>
      <c r="H672" s="19">
        <f>ROUND((H664+H669)/(H665+H670),2)</f>
        <v>17258.11</v>
      </c>
      <c r="I672" s="19">
        <f>ROUND((I664+I669)/(I665+I670),2)</f>
        <v>17463.310000000001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>
    <dataRefs count="1">
      <dataRef ref="F9:L672" sheet="DOE25"/>
    </dataRefs>
  </dataConsolidate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9" sqref="B39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Con Val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9906116.5499999989</v>
      </c>
      <c r="C9" s="229">
        <f>'DOE25'!G197+'DOE25'!G215+'DOE25'!G233+'DOE25'!G276+'DOE25'!G295+'DOE25'!G314</f>
        <v>4915209.8100000005</v>
      </c>
    </row>
    <row r="10" spans="1:3" x14ac:dyDescent="0.2">
      <c r="A10" t="s">
        <v>779</v>
      </c>
      <c r="B10" s="240">
        <v>8989652.3000000007</v>
      </c>
      <c r="C10" s="240">
        <v>4502800.9000000004</v>
      </c>
    </row>
    <row r="11" spans="1:3" x14ac:dyDescent="0.2">
      <c r="A11" t="s">
        <v>780</v>
      </c>
      <c r="B11" s="240">
        <v>274605.89</v>
      </c>
      <c r="C11" s="240">
        <v>123572.65</v>
      </c>
    </row>
    <row r="12" spans="1:3" x14ac:dyDescent="0.2">
      <c r="A12" t="s">
        <v>781</v>
      </c>
      <c r="B12" s="240">
        <v>641858.36</v>
      </c>
      <c r="C12" s="240">
        <v>288836.26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9906116.5500000007</v>
      </c>
      <c r="C13" s="231">
        <f>SUM(C10:C12)</f>
        <v>4915209.8100000005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4990192.74</v>
      </c>
      <c r="C18" s="229">
        <f>'DOE25'!G198+'DOE25'!G216+'DOE25'!G234+'DOE25'!G277+'DOE25'!G296+'DOE25'!G315</f>
        <v>2631623.4900000002</v>
      </c>
    </row>
    <row r="19" spans="1:3" x14ac:dyDescent="0.2">
      <c r="A19" t="s">
        <v>779</v>
      </c>
      <c r="B19" s="240">
        <v>2154569.7399999998</v>
      </c>
      <c r="C19" s="240">
        <v>1242168.22</v>
      </c>
    </row>
    <row r="20" spans="1:3" x14ac:dyDescent="0.2">
      <c r="A20" t="s">
        <v>780</v>
      </c>
      <c r="B20" s="240">
        <v>1741156.47</v>
      </c>
      <c r="C20" s="240">
        <v>853166.67</v>
      </c>
    </row>
    <row r="21" spans="1:3" x14ac:dyDescent="0.2">
      <c r="A21" t="s">
        <v>781</v>
      </c>
      <c r="B21" s="240">
        <v>1094466.53</v>
      </c>
      <c r="C21" s="240">
        <v>536288.6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4990192.74</v>
      </c>
      <c r="C22" s="231">
        <f>SUM(C19:C21)</f>
        <v>2631623.4900000002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585910.80000000005</v>
      </c>
      <c r="C27" s="234">
        <f>'DOE25'!G199+'DOE25'!G217+'DOE25'!G235+'DOE25'!G278+'DOE25'!G297+'DOE25'!G316</f>
        <v>269248.82</v>
      </c>
    </row>
    <row r="28" spans="1:3" x14ac:dyDescent="0.2">
      <c r="A28" t="s">
        <v>779</v>
      </c>
      <c r="B28" s="240">
        <v>585910.80000000005</v>
      </c>
      <c r="C28" s="240">
        <v>269248.82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585910.80000000005</v>
      </c>
      <c r="C31" s="231">
        <f>SUM(C28:C30)</f>
        <v>269248.82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441088.84</v>
      </c>
      <c r="C36" s="235">
        <f>'DOE25'!G200+'DOE25'!G218+'DOE25'!G236+'DOE25'!G279+'DOE25'!G298+'DOE25'!G317</f>
        <v>153111.44999999998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441088.84</v>
      </c>
      <c r="C39" s="240">
        <v>153111.45000000001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441088.84</v>
      </c>
      <c r="C40" s="231">
        <f>SUM(C37:C39)</f>
        <v>153111.45000000001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Con Val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25967234.118000001</v>
      </c>
      <c r="D5" s="20">
        <f>SUM('DOE25'!L197:L200)+SUM('DOE25'!L215:L218)+SUM('DOE25'!L233:L236)-F5-G5</f>
        <v>25592179.697999999</v>
      </c>
      <c r="E5" s="243"/>
      <c r="F5" s="255">
        <f>SUM('DOE25'!J197:J200)+SUM('DOE25'!J215:J218)+SUM('DOE25'!J233:J236)</f>
        <v>302481.26</v>
      </c>
      <c r="G5" s="53">
        <f>SUM('DOE25'!K197:K200)+SUM('DOE25'!K215:K218)+SUM('DOE25'!K233:K236)</f>
        <v>72573.16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2279295.5159999998</v>
      </c>
      <c r="D6" s="20">
        <f>'DOE25'!L202+'DOE25'!L220+'DOE25'!L238-F6-G6</f>
        <v>2261341.2659999998</v>
      </c>
      <c r="E6" s="243"/>
      <c r="F6" s="255">
        <f>'DOE25'!J202+'DOE25'!J220+'DOE25'!J238</f>
        <v>14129.25</v>
      </c>
      <c r="G6" s="53">
        <f>'DOE25'!K202+'DOE25'!K220+'DOE25'!K238</f>
        <v>3825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1143879.3190000001</v>
      </c>
      <c r="D7" s="20">
        <f>'DOE25'!L203+'DOE25'!L221+'DOE25'!L239-F7-G7</f>
        <v>1143780.3190000001</v>
      </c>
      <c r="E7" s="243"/>
      <c r="F7" s="255">
        <f>'DOE25'!J203+'DOE25'!J221+'DOE25'!J239</f>
        <v>0</v>
      </c>
      <c r="G7" s="53">
        <f>'DOE25'!K203+'DOE25'!K221+'DOE25'!K239</f>
        <v>99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1236151.3207000003</v>
      </c>
      <c r="D8" s="243"/>
      <c r="E8" s="20">
        <f>'DOE25'!L204+'DOE25'!L222+'DOE25'!L240-F8-G8-D9-D11</f>
        <v>1211386.1407000001</v>
      </c>
      <c r="F8" s="255">
        <f>'DOE25'!J204+'DOE25'!J222+'DOE25'!J240</f>
        <v>4755.5599999999995</v>
      </c>
      <c r="G8" s="53">
        <f>'DOE25'!K204+'DOE25'!K222+'DOE25'!K240</f>
        <v>20009.620000000003</v>
      </c>
      <c r="H8" s="259"/>
    </row>
    <row r="9" spans="1:9" x14ac:dyDescent="0.2">
      <c r="A9" s="32">
        <v>2310</v>
      </c>
      <c r="B9" t="s">
        <v>818</v>
      </c>
      <c r="C9" s="245">
        <f t="shared" si="0"/>
        <v>279721.24</v>
      </c>
      <c r="D9" s="244">
        <v>279721.24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24347</v>
      </c>
      <c r="D10" s="243"/>
      <c r="E10" s="244">
        <v>24347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273387.42</v>
      </c>
      <c r="D11" s="244">
        <v>273387.42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3241494.67</v>
      </c>
      <c r="D12" s="20">
        <f>'DOE25'!L205+'DOE25'!L223+'DOE25'!L241-F12-G12</f>
        <v>3118760.17</v>
      </c>
      <c r="E12" s="243"/>
      <c r="F12" s="255">
        <f>'DOE25'!J205+'DOE25'!J223+'DOE25'!J241</f>
        <v>23947.83</v>
      </c>
      <c r="G12" s="53">
        <f>'DOE25'!K205+'DOE25'!K223+'DOE25'!K241</f>
        <v>98786.67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3884067.8222000003</v>
      </c>
      <c r="D14" s="20">
        <f>'DOE25'!L207+'DOE25'!L225+'DOE25'!L243-F14-G14</f>
        <v>3815703.1022000001</v>
      </c>
      <c r="E14" s="243"/>
      <c r="F14" s="255">
        <f>'DOE25'!J207+'DOE25'!J225+'DOE25'!J243</f>
        <v>68364.72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2408760.5199999996</v>
      </c>
      <c r="D15" s="20">
        <f>'DOE25'!L208+'DOE25'!L226+'DOE25'!L244-F15-G15</f>
        <v>2408760.5199999996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11364.93</v>
      </c>
      <c r="D16" s="243"/>
      <c r="E16" s="20">
        <f>'DOE25'!L209+'DOE25'!L227+'DOE25'!L245-F16-G16</f>
        <v>11364.93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469755</v>
      </c>
      <c r="D25" s="243"/>
      <c r="E25" s="243"/>
      <c r="F25" s="258"/>
      <c r="G25" s="256"/>
      <c r="H25" s="257">
        <f>'DOE25'!L260+'DOE25'!L261+'DOE25'!L341+'DOE25'!L342</f>
        <v>469755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1053912.8800000001</v>
      </c>
      <c r="D29" s="20">
        <f>'DOE25'!L358+'DOE25'!L359+'DOE25'!L360-'DOE25'!I367-F29-G29</f>
        <v>1035148.6200000001</v>
      </c>
      <c r="E29" s="243"/>
      <c r="F29" s="255">
        <f>'DOE25'!J358+'DOE25'!J359+'DOE25'!J360</f>
        <v>18764.259999999998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1302116.3437999999</v>
      </c>
      <c r="D31" s="20">
        <f>'DOE25'!L290+'DOE25'!L309+'DOE25'!L328+'DOE25'!L333+'DOE25'!L334+'DOE25'!L335-F31-G31</f>
        <v>1207764.9037999997</v>
      </c>
      <c r="E31" s="243"/>
      <c r="F31" s="255">
        <f>'DOE25'!J290+'DOE25'!J309+'DOE25'!J328+'DOE25'!J333+'DOE25'!J334+'DOE25'!J335</f>
        <v>86908.84</v>
      </c>
      <c r="G31" s="53">
        <f>'DOE25'!K290+'DOE25'!K309+'DOE25'!K328+'DOE25'!K333+'DOE25'!K334+'DOE25'!K335</f>
        <v>7442.6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41136547.259000003</v>
      </c>
      <c r="E33" s="246">
        <f>SUM(E5:E31)</f>
        <v>1247098.0707</v>
      </c>
      <c r="F33" s="246">
        <f>SUM(F5:F31)</f>
        <v>519351.72</v>
      </c>
      <c r="G33" s="246">
        <f>SUM(G5:G31)</f>
        <v>202736.05000000002</v>
      </c>
      <c r="H33" s="246">
        <f>SUM(H5:H31)</f>
        <v>469755</v>
      </c>
    </row>
    <row r="35" spans="2:8" ht="12" thickBot="1" x14ac:dyDescent="0.25">
      <c r="B35" s="253" t="s">
        <v>847</v>
      </c>
      <c r="D35" s="254">
        <f>E33</f>
        <v>1247098.0707</v>
      </c>
      <c r="E35" s="249"/>
    </row>
    <row r="36" spans="2:8" ht="12" thickTop="1" x14ac:dyDescent="0.2">
      <c r="B36" t="s">
        <v>815</v>
      </c>
      <c r="D36" s="20">
        <f>D33</f>
        <v>41136547.259000003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 Val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3003072.39</v>
      </c>
      <c r="D8" s="95">
        <f>'DOE25'!G9</f>
        <v>118462.35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5860.54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1464440.75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314416.67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121001.35</v>
      </c>
      <c r="D12" s="95">
        <f>'DOE25'!G13</f>
        <v>18606.810000000001</v>
      </c>
      <c r="E12" s="95">
        <f>'DOE25'!H13</f>
        <v>243301.41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24512.54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275709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3744572.49</v>
      </c>
      <c r="D18" s="41">
        <f>SUM(D8:D17)</f>
        <v>137069.16</v>
      </c>
      <c r="E18" s="41">
        <f>SUM(E8:E17)</f>
        <v>243301.41</v>
      </c>
      <c r="F18" s="41">
        <f>SUM(F8:F17)</f>
        <v>0</v>
      </c>
      <c r="G18" s="41">
        <f>SUM(G8:G17)</f>
        <v>1464440.75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185771.14</v>
      </c>
      <c r="D21" s="95">
        <f>'DOE25'!G22</f>
        <v>43120.239999999991</v>
      </c>
      <c r="E21" s="95">
        <f>'DOE25'!H22</f>
        <v>237527.08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222313.49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119759.76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5774.33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408084.63</v>
      </c>
      <c r="D31" s="41">
        <f>SUM(D21:D30)</f>
        <v>162880</v>
      </c>
      <c r="E31" s="41">
        <f>SUM(E21:E30)</f>
        <v>243301.40999999997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275709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-25810.839999999997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1464440.75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1493945.51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1066833.3500000003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3336487.8600000003</v>
      </c>
      <c r="D50" s="41">
        <f>SUM(D34:D49)</f>
        <v>-25810.839999999997</v>
      </c>
      <c r="E50" s="41">
        <f>SUM(E34:E49)</f>
        <v>0</v>
      </c>
      <c r="F50" s="41">
        <f>SUM(F34:F49)</f>
        <v>0</v>
      </c>
      <c r="G50" s="41">
        <f>SUM(G34:G49)</f>
        <v>1464440.75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3744572.49</v>
      </c>
      <c r="D51" s="41">
        <f>D50+D31</f>
        <v>137069.16</v>
      </c>
      <c r="E51" s="41">
        <f>E50+E31</f>
        <v>243301.40999999997</v>
      </c>
      <c r="F51" s="41">
        <f>F50+F31</f>
        <v>0</v>
      </c>
      <c r="G51" s="41">
        <f>G50+G31</f>
        <v>1464440.75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27806480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150533.71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505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6903.68</v>
      </c>
      <c r="D59" s="95">
        <f>'DOE25'!G96</f>
        <v>53.58</v>
      </c>
      <c r="E59" s="95">
        <f>'DOE25'!H96</f>
        <v>0</v>
      </c>
      <c r="F59" s="95">
        <f>'DOE25'!I96</f>
        <v>0</v>
      </c>
      <c r="G59" s="95">
        <f>'DOE25'!J96</f>
        <v>1374.56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457803.33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784684.76</v>
      </c>
      <c r="D61" s="95">
        <f>SUM('DOE25'!G98:G110)</f>
        <v>8377.09</v>
      </c>
      <c r="E61" s="95">
        <f>SUM('DOE25'!H98:H110)</f>
        <v>9785.1299999999992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942627.15</v>
      </c>
      <c r="D62" s="130">
        <f>SUM(D57:D61)</f>
        <v>466234.00000000006</v>
      </c>
      <c r="E62" s="130">
        <f>SUM(E57:E61)</f>
        <v>9785.1299999999992</v>
      </c>
      <c r="F62" s="130">
        <f>SUM(F57:F61)</f>
        <v>0</v>
      </c>
      <c r="G62" s="130">
        <f>SUM(G57:G61)</f>
        <v>1374.56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28749107.149999999</v>
      </c>
      <c r="D63" s="22">
        <f>D56+D62</f>
        <v>466234.00000000006</v>
      </c>
      <c r="E63" s="22">
        <f>E56+E62</f>
        <v>9785.1299999999992</v>
      </c>
      <c r="F63" s="22">
        <f>F56+F62</f>
        <v>0</v>
      </c>
      <c r="G63" s="22">
        <f>G56+G62</f>
        <v>1374.56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7521087.2599999998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4708446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12229533.26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678111.94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570641.04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39476.99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17011.919999999998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1288229.97</v>
      </c>
      <c r="D78" s="130">
        <f>SUM(D72:D77)</f>
        <v>17011.919999999998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13517763.23</v>
      </c>
      <c r="D81" s="130">
        <f>SUM(D79:D80)+D78+D70</f>
        <v>17011.919999999998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79380.37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404698.94</v>
      </c>
      <c r="D88" s="95">
        <f>SUM('DOE25'!G153:G161)</f>
        <v>427037</v>
      </c>
      <c r="E88" s="95">
        <f>SUM('DOE25'!H153:H161)</f>
        <v>1231624.25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404698.94</v>
      </c>
      <c r="D91" s="131">
        <f>SUM(D85:D90)</f>
        <v>427037</v>
      </c>
      <c r="E91" s="131">
        <f>SUM(E85:E90)</f>
        <v>1311004.6200000001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209980.5</v>
      </c>
      <c r="E96" s="95">
        <f>'DOE25'!H179</f>
        <v>0</v>
      </c>
      <c r="F96" s="95">
        <f>'DOE25'!I179</f>
        <v>0</v>
      </c>
      <c r="G96" s="95">
        <f>'DOE25'!J179</f>
        <v>400000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209980.5</v>
      </c>
      <c r="E103" s="86">
        <f>SUM(E93:E102)</f>
        <v>0</v>
      </c>
      <c r="F103" s="86">
        <f>SUM(F93:F102)</f>
        <v>0</v>
      </c>
      <c r="G103" s="86">
        <f>SUM(G93:G102)</f>
        <v>400000</v>
      </c>
    </row>
    <row r="104" spans="1:7" ht="12.75" thickTop="1" thickBot="1" x14ac:dyDescent="0.25">
      <c r="A104" s="33" t="s">
        <v>765</v>
      </c>
      <c r="C104" s="86">
        <f>C63+C81+C91+C103</f>
        <v>42671569.319999993</v>
      </c>
      <c r="D104" s="86">
        <f>D63+D81+D91+D103</f>
        <v>1120263.42</v>
      </c>
      <c r="E104" s="86">
        <f>E63+E81+E91+E103</f>
        <v>1320789.75</v>
      </c>
      <c r="F104" s="86">
        <f>F63+F81+F91+F103</f>
        <v>0</v>
      </c>
      <c r="G104" s="86">
        <f>G63+G81+G103</f>
        <v>401374.56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15275570.492000001</v>
      </c>
      <c r="D109" s="24" t="s">
        <v>289</v>
      </c>
      <c r="E109" s="95">
        <f>('DOE25'!L276)+('DOE25'!L295)+('DOE25'!L314)</f>
        <v>368463.62000000005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8936617.6499999985</v>
      </c>
      <c r="D110" s="24" t="s">
        <v>289</v>
      </c>
      <c r="E110" s="95">
        <f>('DOE25'!L277)+('DOE25'!L296)+('DOE25'!L315)</f>
        <v>501695.82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902136.13599999994</v>
      </c>
      <c r="D111" s="24" t="s">
        <v>289</v>
      </c>
      <c r="E111" s="95">
        <f>('DOE25'!L278)+('DOE25'!L297)+('DOE25'!L316)</f>
        <v>77707.14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852909.84000000008</v>
      </c>
      <c r="D112" s="24" t="s">
        <v>289</v>
      </c>
      <c r="E112" s="95">
        <f>+('DOE25'!L279)+('DOE25'!L298)+('DOE25'!L317)</f>
        <v>2980.26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25967234.117999997</v>
      </c>
      <c r="D115" s="86">
        <f>SUM(D109:D114)</f>
        <v>0</v>
      </c>
      <c r="E115" s="86">
        <f>SUM(E109:E114)</f>
        <v>950846.84000000008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2279295.5159999998</v>
      </c>
      <c r="D118" s="24" t="s">
        <v>289</v>
      </c>
      <c r="E118" s="95">
        <f>+('DOE25'!L281)+('DOE25'!L300)+('DOE25'!L319)</f>
        <v>27629.699999999997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1143879.3190000001</v>
      </c>
      <c r="D119" s="24" t="s">
        <v>289</v>
      </c>
      <c r="E119" s="95">
        <f>+('DOE25'!L282)+('DOE25'!L301)+('DOE25'!L320)</f>
        <v>311157.04379999998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1789259.9807000002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3241494.67</v>
      </c>
      <c r="D121" s="24" t="s">
        <v>289</v>
      </c>
      <c r="E121" s="95">
        <f>+('DOE25'!L284)+('DOE25'!L303)+('DOE25'!L322)</f>
        <v>4744.26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3884067.8222000003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2408760.5199999996</v>
      </c>
      <c r="D124" s="24" t="s">
        <v>289</v>
      </c>
      <c r="E124" s="95">
        <f>+('DOE25'!L287)+('DOE25'!L306)+('DOE25'!L325)</f>
        <v>7738.5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11364.93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1053912.8800000001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14758122.7579</v>
      </c>
      <c r="D128" s="86">
        <f>SUM(D118:D127)</f>
        <v>1053912.8800000001</v>
      </c>
      <c r="E128" s="86">
        <f>SUM(E118:E127)</f>
        <v>351269.50380000001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360000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109755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18673.41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209980.5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401374.56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-1374.5599999999977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1079735.5</v>
      </c>
      <c r="D144" s="141">
        <f>SUM(D130:D143)</f>
        <v>0</v>
      </c>
      <c r="E144" s="141">
        <f>SUM(E130:E143)</f>
        <v>18673.41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41805092.3759</v>
      </c>
      <c r="D145" s="86">
        <f>(D115+D128+D144)</f>
        <v>1053912.8800000001</v>
      </c>
      <c r="E145" s="86">
        <f>(E115+E128+E144)</f>
        <v>1320789.7538000001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3575000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1.6918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2855000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2855000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360000</v>
      </c>
    </row>
    <row r="159" spans="1:9" x14ac:dyDescent="0.2">
      <c r="A159" s="22" t="s">
        <v>35</v>
      </c>
      <c r="B159" s="137">
        <f>'DOE25'!F498</f>
        <v>2495000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2495000</v>
      </c>
    </row>
    <row r="160" spans="1:9" x14ac:dyDescent="0.2">
      <c r="A160" s="22" t="s">
        <v>36</v>
      </c>
      <c r="B160" s="137">
        <f>'DOE25'!F499</f>
        <v>425655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425655</v>
      </c>
    </row>
    <row r="161" spans="1:7" x14ac:dyDescent="0.2">
      <c r="A161" s="22" t="s">
        <v>37</v>
      </c>
      <c r="B161" s="137">
        <f>'DOE25'!F500</f>
        <v>2920655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2920655</v>
      </c>
    </row>
    <row r="162" spans="1:7" x14ac:dyDescent="0.2">
      <c r="A162" s="22" t="s">
        <v>38</v>
      </c>
      <c r="B162" s="137">
        <f>'DOE25'!F501</f>
        <v>360000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360000</v>
      </c>
    </row>
    <row r="163" spans="1:7" x14ac:dyDescent="0.2">
      <c r="A163" s="22" t="s">
        <v>39</v>
      </c>
      <c r="B163" s="137">
        <f>'DOE25'!F502</f>
        <v>98595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98595</v>
      </c>
    </row>
    <row r="164" spans="1:7" x14ac:dyDescent="0.2">
      <c r="A164" s="22" t="s">
        <v>246</v>
      </c>
      <c r="B164" s="137">
        <f>'DOE25'!F503</f>
        <v>458595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458595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Con Val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18160</v>
      </c>
    </row>
    <row r="5" spans="1:4" x14ac:dyDescent="0.2">
      <c r="B5" t="s">
        <v>704</v>
      </c>
      <c r="C5" s="179">
        <f>IF('DOE25'!G665+'DOE25'!G670=0,0,ROUND('DOE25'!G672,0))</f>
        <v>16893</v>
      </c>
    </row>
    <row r="6" spans="1:4" x14ac:dyDescent="0.2">
      <c r="B6" t="s">
        <v>62</v>
      </c>
      <c r="C6" s="179">
        <f>IF('DOE25'!H665+'DOE25'!H670=0,0,ROUND('DOE25'!H672,0))</f>
        <v>17258</v>
      </c>
    </row>
    <row r="7" spans="1:4" x14ac:dyDescent="0.2">
      <c r="B7" t="s">
        <v>705</v>
      </c>
      <c r="C7" s="179">
        <f>IF('DOE25'!I665+'DOE25'!I670=0,0,ROUND('DOE25'!I672,0))</f>
        <v>17463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15644034</v>
      </c>
      <c r="D10" s="182">
        <f>ROUND((C10/$C$28)*100,1)</f>
        <v>36.6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9438313</v>
      </c>
      <c r="D11" s="182">
        <f>ROUND((C11/$C$28)*100,1)</f>
        <v>22.1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979843</v>
      </c>
      <c r="D12" s="182">
        <f>ROUND((C12/$C$28)*100,1)</f>
        <v>2.2999999999999998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855890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2306925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1455036</v>
      </c>
      <c r="D16" s="182">
        <f t="shared" si="0"/>
        <v>3.4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1800625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3246239</v>
      </c>
      <c r="D18" s="182">
        <f t="shared" si="0"/>
        <v>7.6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3884068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2416499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109755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587732.57999999996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42724959.579999998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42724959.579999998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360000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27806480</v>
      </c>
      <c r="D35" s="182">
        <f t="shared" ref="D35:D40" si="1">ROUND((C35/$C$41)*100,1)</f>
        <v>62.6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953840.41999999806</v>
      </c>
      <c r="D36" s="182">
        <f t="shared" si="1"/>
        <v>2.1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12229533</v>
      </c>
      <c r="D37" s="182">
        <f t="shared" si="1"/>
        <v>27.5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1305242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2142741</v>
      </c>
      <c r="D39" s="182">
        <f t="shared" si="1"/>
        <v>4.8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44437836.420000002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4" sqref="B4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Con Val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>
        <v>59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>
        <v>110</v>
      </c>
      <c r="C5" s="285" t="s">
        <v>914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>
        <v>48</v>
      </c>
      <c r="C6" s="285" t="s">
        <v>915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>
        <v>96</v>
      </c>
      <c r="C7" s="285" t="s">
        <v>916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>
        <v>208</v>
      </c>
      <c r="C8" s="285" t="s">
        <v>917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>
        <v>228</v>
      </c>
      <c r="C9" s="285" t="s">
        <v>917</v>
      </c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>
        <v>243</v>
      </c>
      <c r="C10" s="285" t="s">
        <v>917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2016-10-04T15:12:39Z</cp:lastPrinted>
  <dcterms:created xsi:type="dcterms:W3CDTF">1997-12-04T19:04:30Z</dcterms:created>
  <dcterms:modified xsi:type="dcterms:W3CDTF">2016-11-29T14:37:23Z</dcterms:modified>
</cp:coreProperties>
</file>