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82" i="1" l="1"/>
  <c r="H604" i="1" l="1"/>
  <c r="I604" i="1"/>
  <c r="J604" i="1"/>
  <c r="G233" i="1"/>
  <c r="F233" i="1"/>
  <c r="G215" i="1"/>
  <c r="F215" i="1"/>
  <c r="G197" i="1"/>
  <c r="F197" i="1"/>
  <c r="F14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D29" i="13" s="1"/>
  <c r="C29" i="13" s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296" i="1"/>
  <c r="L297" i="1"/>
  <c r="L298" i="1"/>
  <c r="C13" i="10" s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L325" i="1"/>
  <c r="E124" i="2" s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9" i="1" s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C143" i="2" s="1"/>
  <c r="L349" i="1"/>
  <c r="C26" i="10" s="1"/>
  <c r="L350" i="1"/>
  <c r="I665" i="1"/>
  <c r="I670" i="1"/>
  <c r="G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2" i="2"/>
  <c r="C113" i="2"/>
  <c r="E113" i="2"/>
  <c r="C114" i="2"/>
  <c r="D115" i="2"/>
  <c r="F115" i="2"/>
  <c r="G115" i="2"/>
  <c r="C119" i="2"/>
  <c r="E120" i="2"/>
  <c r="E123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H545" i="1" s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J643" i="1" s="1"/>
  <c r="G644" i="1"/>
  <c r="G645" i="1"/>
  <c r="G650" i="1"/>
  <c r="G652" i="1"/>
  <c r="H652" i="1"/>
  <c r="G653" i="1"/>
  <c r="H653" i="1"/>
  <c r="G654" i="1"/>
  <c r="H654" i="1"/>
  <c r="H655" i="1"/>
  <c r="F192" i="1"/>
  <c r="E13" i="13"/>
  <c r="C13" i="13" s="1"/>
  <c r="E78" i="2"/>
  <c r="H112" i="1"/>
  <c r="I169" i="1"/>
  <c r="J476" i="1"/>
  <c r="H626" i="1" s="1"/>
  <c r="H476" i="1"/>
  <c r="H624" i="1" s="1"/>
  <c r="J624" i="1" s="1"/>
  <c r="J140" i="1"/>
  <c r="J552" i="1"/>
  <c r="F22" i="13"/>
  <c r="C22" i="13" s="1"/>
  <c r="H192" i="1"/>
  <c r="J655" i="1"/>
  <c r="L570" i="1"/>
  <c r="G36" i="2"/>
  <c r="A31" i="12" l="1"/>
  <c r="K598" i="1"/>
  <c r="G647" i="1" s="1"/>
  <c r="H552" i="1"/>
  <c r="L534" i="1"/>
  <c r="G552" i="1"/>
  <c r="K550" i="1"/>
  <c r="I545" i="1"/>
  <c r="K549" i="1"/>
  <c r="G545" i="1"/>
  <c r="F552" i="1"/>
  <c r="G161" i="2"/>
  <c r="G157" i="2"/>
  <c r="F476" i="1"/>
  <c r="H622" i="1" s="1"/>
  <c r="J622" i="1" s="1"/>
  <c r="H461" i="1"/>
  <c r="H641" i="1" s="1"/>
  <c r="I461" i="1"/>
  <c r="H642" i="1" s="1"/>
  <c r="J639" i="1"/>
  <c r="L419" i="1"/>
  <c r="L434" i="1" s="1"/>
  <c r="G638" i="1" s="1"/>
  <c r="J638" i="1" s="1"/>
  <c r="H408" i="1"/>
  <c r="H644" i="1" s="1"/>
  <c r="J644" i="1" s="1"/>
  <c r="L401" i="1"/>
  <c r="C139" i="2" s="1"/>
  <c r="G408" i="1"/>
  <c r="H645" i="1" s="1"/>
  <c r="J645" i="1" s="1"/>
  <c r="L393" i="1"/>
  <c r="C138" i="2" s="1"/>
  <c r="I369" i="1"/>
  <c r="H634" i="1" s="1"/>
  <c r="J634" i="1" s="1"/>
  <c r="F661" i="1"/>
  <c r="L362" i="1"/>
  <c r="C27" i="10" s="1"/>
  <c r="H662" i="1"/>
  <c r="L328" i="1"/>
  <c r="E119" i="2"/>
  <c r="G338" i="1"/>
  <c r="G352" i="1" s="1"/>
  <c r="L309" i="1"/>
  <c r="E110" i="2"/>
  <c r="F338" i="1"/>
  <c r="F352" i="1" s="1"/>
  <c r="H338" i="1"/>
  <c r="H352" i="1" s="1"/>
  <c r="C132" i="2"/>
  <c r="L270" i="1"/>
  <c r="L256" i="1"/>
  <c r="H647" i="1"/>
  <c r="G651" i="1"/>
  <c r="J651" i="1" s="1"/>
  <c r="D12" i="13"/>
  <c r="C12" i="13" s="1"/>
  <c r="F257" i="1"/>
  <c r="F271" i="1" s="1"/>
  <c r="E8" i="13"/>
  <c r="C8" i="13" s="1"/>
  <c r="C16" i="10"/>
  <c r="C111" i="2"/>
  <c r="L247" i="1"/>
  <c r="C110" i="2"/>
  <c r="C10" i="10"/>
  <c r="C109" i="2"/>
  <c r="C20" i="10"/>
  <c r="C18" i="10"/>
  <c r="J257" i="1"/>
  <c r="J271" i="1" s="1"/>
  <c r="C17" i="10"/>
  <c r="C15" i="10"/>
  <c r="D6" i="13"/>
  <c r="C6" i="13" s="1"/>
  <c r="I257" i="1"/>
  <c r="I271" i="1" s="1"/>
  <c r="A40" i="12"/>
  <c r="L229" i="1"/>
  <c r="G257" i="1"/>
  <c r="G271" i="1" s="1"/>
  <c r="E16" i="13"/>
  <c r="C16" i="13" s="1"/>
  <c r="C123" i="2"/>
  <c r="D14" i="13"/>
  <c r="C14" i="13" s="1"/>
  <c r="K257" i="1"/>
  <c r="K271" i="1" s="1"/>
  <c r="L211" i="1"/>
  <c r="C11" i="10"/>
  <c r="H257" i="1"/>
  <c r="H271" i="1" s="1"/>
  <c r="A13" i="12"/>
  <c r="C78" i="2"/>
  <c r="C70" i="2"/>
  <c r="E62" i="2"/>
  <c r="E63" i="2" s="1"/>
  <c r="D62" i="2"/>
  <c r="D63" i="2" s="1"/>
  <c r="D31" i="2"/>
  <c r="E31" i="2"/>
  <c r="J617" i="1"/>
  <c r="D18" i="2"/>
  <c r="C18" i="2"/>
  <c r="J640" i="1"/>
  <c r="J625" i="1"/>
  <c r="J641" i="1"/>
  <c r="L290" i="1"/>
  <c r="K503" i="1"/>
  <c r="L382" i="1"/>
  <c r="G636" i="1" s="1"/>
  <c r="J636" i="1" s="1"/>
  <c r="E118" i="2"/>
  <c r="E109" i="2"/>
  <c r="C62" i="2"/>
  <c r="C63" i="2" s="1"/>
  <c r="C29" i="10"/>
  <c r="D15" i="13"/>
  <c r="C15" i="13" s="1"/>
  <c r="L544" i="1"/>
  <c r="D127" i="2"/>
  <c r="D128" i="2" s="1"/>
  <c r="D145" i="2" s="1"/>
  <c r="C122" i="2"/>
  <c r="C118" i="2"/>
  <c r="F662" i="1"/>
  <c r="I662" i="1" s="1"/>
  <c r="H25" i="13"/>
  <c r="F112" i="1"/>
  <c r="C36" i="10" s="1"/>
  <c r="L351" i="1"/>
  <c r="L614" i="1"/>
  <c r="C85" i="2"/>
  <c r="C91" i="2" s="1"/>
  <c r="H661" i="1"/>
  <c r="C21" i="10"/>
  <c r="C12" i="10"/>
  <c r="D5" i="13"/>
  <c r="C5" i="13" s="1"/>
  <c r="K500" i="1"/>
  <c r="G661" i="1"/>
  <c r="K338" i="1"/>
  <c r="K352" i="1" s="1"/>
  <c r="H52" i="1"/>
  <c r="H619" i="1" s="1"/>
  <c r="J619" i="1" s="1"/>
  <c r="C35" i="10"/>
  <c r="G649" i="1"/>
  <c r="J649" i="1" s="1"/>
  <c r="L524" i="1"/>
  <c r="J338" i="1"/>
  <c r="J352" i="1" s="1"/>
  <c r="C124" i="2"/>
  <c r="C120" i="2"/>
  <c r="C81" i="2"/>
  <c r="I52" i="1"/>
  <c r="H620" i="1" s="1"/>
  <c r="J620" i="1" s="1"/>
  <c r="C32" i="10"/>
  <c r="K551" i="1"/>
  <c r="E81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J647" i="1" l="1"/>
  <c r="K552" i="1"/>
  <c r="L408" i="1"/>
  <c r="G637" i="1" s="1"/>
  <c r="J637" i="1" s="1"/>
  <c r="H646" i="1"/>
  <c r="J646" i="1" s="1"/>
  <c r="C141" i="2"/>
  <c r="C144" i="2" s="1"/>
  <c r="G635" i="1"/>
  <c r="J635" i="1" s="1"/>
  <c r="H660" i="1"/>
  <c r="H664" i="1" s="1"/>
  <c r="H667" i="1" s="1"/>
  <c r="E128" i="2"/>
  <c r="E115" i="2"/>
  <c r="G660" i="1"/>
  <c r="G664" i="1" s="1"/>
  <c r="G672" i="1" s="1"/>
  <c r="C5" i="10" s="1"/>
  <c r="E33" i="13"/>
  <c r="D35" i="13" s="1"/>
  <c r="C115" i="2"/>
  <c r="L257" i="1"/>
  <c r="L271" i="1" s="1"/>
  <c r="G632" i="1" s="1"/>
  <c r="J632" i="1" s="1"/>
  <c r="F660" i="1"/>
  <c r="F664" i="1" s="1"/>
  <c r="F672" i="1" s="1"/>
  <c r="C4" i="10" s="1"/>
  <c r="C28" i="10"/>
  <c r="D23" i="10" s="1"/>
  <c r="C104" i="2"/>
  <c r="E104" i="2"/>
  <c r="F193" i="1"/>
  <c r="G627" i="1" s="1"/>
  <c r="J627" i="1" s="1"/>
  <c r="E51" i="2"/>
  <c r="D31" i="13"/>
  <c r="C31" i="13" s="1"/>
  <c r="L545" i="1"/>
  <c r="C25" i="13"/>
  <c r="H33" i="13"/>
  <c r="L338" i="1"/>
  <c r="L352" i="1" s="1"/>
  <c r="G633" i="1" s="1"/>
  <c r="J633" i="1" s="1"/>
  <c r="C128" i="2"/>
  <c r="I661" i="1"/>
  <c r="H648" i="1"/>
  <c r="J648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G667" i="1"/>
  <c r="C145" i="2"/>
  <c r="H672" i="1"/>
  <c r="C6" i="10" s="1"/>
  <c r="I660" i="1"/>
  <c r="I664" i="1" s="1"/>
  <c r="D20" i="10"/>
  <c r="D25" i="10"/>
  <c r="F667" i="1"/>
  <c r="D16" i="10"/>
  <c r="D19" i="10"/>
  <c r="D11" i="10"/>
  <c r="D22" i="10"/>
  <c r="D12" i="10"/>
  <c r="D26" i="10"/>
  <c r="D24" i="10"/>
  <c r="D13" i="10"/>
  <c r="D21" i="10"/>
  <c r="D18" i="10"/>
  <c r="D15" i="10"/>
  <c r="D27" i="10"/>
  <c r="D17" i="10"/>
  <c r="D10" i="10"/>
  <c r="C30" i="10"/>
  <c r="D33" i="13"/>
  <c r="D36" i="13" s="1"/>
  <c r="H656" i="1"/>
  <c r="C41" i="10"/>
  <c r="D38" i="10" s="1"/>
  <c r="I672" i="1" l="1"/>
  <c r="C7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<sst xmlns="http://schemas.openxmlformats.org/spreadsheetml/2006/main" count="3960" uniqueCount="918">
  <si>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</si>
  <si>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</si>
  <si>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</si>
  <si>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</si>
  <si>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</si>
  <si>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</si>
  <si>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</si>
  <si>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</si>
  <si>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</si>
  <si>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</si>
  <si>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</si>
  <si>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</si>
  <si>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</si>
  <si>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</si>
  <si>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</si>
  <si>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</si>
  <si>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</si>
  <si>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</si>
  <si>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</si>
  <si>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</si>
  <si>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</si>
  <si>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</si>
  <si>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</si>
  <si>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</si>
  <si>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</si>
  <si>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</si>
  <si>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</si>
  <si>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</si>
  <si>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</si>
  <si>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</si>
  <si>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</si>
  <si>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</si>
  <si>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</si>
  <si>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</si>
  <si>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</si>
  <si>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</si>
  <si>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</si>
  <si>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</si>
  <si>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</si>
  <si>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</si>
  <si>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</si>
  <si>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</si>
  <si>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</si>
  <si>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</si>
  <si>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</si>
  <si>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</si>
  <si>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</si>
  <si>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</si>
  <si>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</si>
  <si>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</si>
  <si>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</si>
  <si>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</si>
  <si>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</si>
  <si>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</si>
  <si>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</si>
  <si>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</si>
  <si>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</si>
  <si>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</si>
  <si>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</si>
  <si>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</si>
  <si>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</si>
  <si>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</si>
  <si>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</si>
  <si>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</si>
  <si>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</si>
  <si>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</si>
  <si>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</si>
  <si>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</si>
  <si>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</si>
  <si>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</si>
  <si>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</si>
  <si>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</si>
  <si>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</si>
  <si>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</si>
  <si>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</si>
  <si>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</si>
  <si>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</si>
  <si>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</si>
  <si>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</si>
  <si>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</si>
  <si>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</si>
  <si>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</si>
  <si>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</si>
  <si>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</si>
  <si>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</si>
  <si>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</si>
  <si>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</si>
  <si>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</si>
  <si>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</si>
  <si>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</si>
  <si>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</si>
  <si>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</si>
  <si>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</si>
  <si>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</si>
  <si>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</si>
  <si>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</si>
  <si>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</si>
  <si>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</si>
  <si>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</si>
  <si>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</si>
  <si>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</si>
  <si>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</si>
  <si>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</si>
  <si>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</si>
  <si>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</si>
  <si>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</si>
  <si>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</si>
  <si>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</si>
  <si>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</si>
  <si>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</si>
  <si>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</si>
  <si>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</si>
  <si>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</si>
  <si>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</si>
  <si>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</si>
  <si>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</si>
  <si>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</si>
  <si>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</si>
  <si>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</si>
  <si>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</si>
  <si>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</si>
  <si>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</si>
  <si>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</si>
  <si>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</si>
  <si>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</si>
  <si>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</si>
  <si>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</si>
  <si>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</si>
  <si>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</si>
  <si>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</si>
  <si>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</si>
  <si>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</si>
  <si>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</si>
  <si>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</si>
  <si>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</si>
  <si>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</si>
  <si>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</si>
  <si>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</si>
  <si>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</si>
  <si>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</si>
  <si>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</si>
  <si>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</si>
  <si>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</si>
  <si>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</si>
  <si>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</si>
  <si>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</si>
  <si>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</si>
  <si>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</si>
  <si>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</si>
  <si>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</si>
  <si>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</si>
  <si>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</si>
  <si>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</si>
  <si>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</si>
  <si>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</si>
  <si>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</si>
  <si>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</si>
  <si>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</si>
  <si>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</si>
  <si>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</si>
  <si>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</si>
  <si>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</si>
  <si>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</si>
  <si>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</si>
  <si>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</si>
  <si>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</si>
  <si>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</si>
  <si>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</si>
  <si>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</si>
  <si>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</si>
  <si>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</si>
  <si>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</si>
  <si>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</si>
  <si>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</si>
  <si>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</si>
  <si>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</si>
  <si>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</si>
  <si>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</si>
  <si>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</si>
  <si>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</si>
  <si>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</si>
  <si>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</si>
  <si>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</si>
  <si>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</si>
  <si>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</si>
  <si>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</si>
  <si>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</si>
  <si>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</si>
  <si>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</si>
  <si>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</si>
  <si>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</si>
  <si>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</si>
  <si>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</si>
  <si>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</si>
  <si>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</si>
  <si>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</si>
  <si>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</si>
  <si>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</si>
  <si>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</si>
  <si>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</si>
  <si>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</si>
  <si>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</si>
  <si>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</si>
  <si>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</si>
  <si>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</si>
  <si>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</si>
  <si>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</si>
  <si>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</si>
  <si>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</si>
  <si>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</si>
  <si>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</si>
  <si>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</si>
  <si>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</si>
  <si>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</si>
  <si>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</si>
  <si>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</si>
  <si>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</si>
  <si>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</si>
  <si>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</si>
  <si>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</si>
  <si>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</si>
  <si>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</si>
  <si>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</si>
  <si>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</si>
  <si>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</si>
  <si>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</si>
  <si>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</si>
  <si>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</si>
  <si>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</si>
  <si>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</si>
  <si>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</si>
  <si>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</si>
  <si>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</si>
  <si>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</si>
  <si>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</si>
  <si>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</si>
  <si>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</si>
  <si>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</si>
  <si>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</si>
  <si>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</si>
  <si>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</si>
  <si>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</si>
  <si>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</si>
  <si>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</si>
  <si>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</si>
  <si>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</si>
  <si>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</si>
  <si>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</si>
  <si>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</si>
  <si>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</si>
  <si>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</si>
  <si>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</si>
  <si>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</si>
  <si>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</si>
  <si>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</si>
  <si>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</si>
  <si>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</si>
  <si>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</si>
  <si>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</si>
  <si>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</si>
  <si>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</si>
  <si>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</si>
  <si>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</si>
  <si>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</si>
  <si>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</si>
  <si>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</si>
  <si>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</si>
  <si>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</si>
  <si>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</si>
  <si>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</si>
  <si>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</si>
  <si>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</si>
  <si>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</si>
  <si>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</si>
  <si>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</si>
  <si>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</si>
  <si>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</si>
  <si>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</si>
  <si>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</si>
  <si>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</si>
  <si>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</si>
  <si>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</si>
  <si>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</si>
  <si>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</si>
  <si>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</si>
  <si>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</si>
  <si>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</si>
  <si>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</si>
  <si>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</si>
  <si>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</si>
  <si>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</si>
  <si>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</si>
  <si>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</si>
  <si>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</si>
  <si>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</si>
  <si>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</si>
  <si>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</si>
  <si>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</si>
  <si>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</si>
  <si>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</si>
  <si>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</si>
  <si>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</si>
  <si>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</si>
  <si>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</si>
  <si>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</si>
  <si>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</si>
  <si>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</si>
  <si>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</si>
  <si>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</si>
  <si>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</si>
  <si>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</si>
  <si>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</si>
  <si>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</si>
  <si>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</si>
  <si>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</si>
  <si>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</si>
  <si>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</si>
  <si>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</si>
  <si>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</si>
  <si>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</si>
  <si>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</si>
  <si>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</si>
  <si>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</si>
  <si>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</si>
  <si>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</si>
  <si>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</si>
  <si>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</si>
  <si>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</si>
  <si>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</si>
  <si>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</si>
  <si>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</si>
  <si>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</si>
  <si>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</si>
  <si>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</si>
  <si>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</si>
  <si>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</si>
  <si>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</si>
  <si>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</si>
  <si>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</si>
  <si>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</si>
  <si>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</si>
  <si>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</si>
  <si>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</si>
  <si>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</si>
  <si>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</si>
  <si>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</si>
  <si>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</si>
  <si>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</si>
  <si>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</si>
  <si>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</si>
  <si>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</si>
  <si>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</si>
  <si>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</si>
  <si>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</si>
  <si>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</si>
  <si>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</si>
  <si>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</si>
  <si>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</si>
  <si>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</si>
  <si>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</si>
  <si>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</si>
  <si>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</si>
  <si>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</si>
  <si>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</si>
  <si>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</si>
  <si>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</si>
  <si>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</si>
  <si>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</si>
  <si>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</si>
  <si>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</si>
  <si>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</si>
  <si>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</si>
  <si>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</si>
  <si>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</si>
  <si>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</si>
  <si>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</si>
  <si>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</si>
  <si>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</si>
  <si>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</si>
  <si>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</si>
  <si>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</si>
  <si>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</si>
  <si>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</si>
  <si>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</si>
  <si>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</si>
  <si>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</si>
  <si>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</si>
  <si>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</si>
  <si>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</si>
  <si>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</si>
  <si>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</si>
  <si>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</si>
  <si>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</si>
  <si>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</si>
  <si>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</si>
  <si>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</si>
  <si>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</si>
  <si>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</si>
  <si>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</si>
  <si>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</si>
  <si>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</si>
  <si>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</si>
  <si>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</si>
  <si>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</si>
  <si>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</si>
  <si>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</si>
  <si>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</si>
  <si>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</si>
  <si>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</si>
  <si>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</si>
  <si>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</si>
  <si>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</si>
  <si>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</si>
  <si>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</si>
  <si>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</si>
  <si>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</si>
  <si>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</si>
  <si>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</si>
  <si>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</si>
  <si>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</si>
  <si>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</si>
  <si>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</si>
  <si>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</si>
  <si>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</si>
  <si>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</si>
  <si>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</si>
  <si>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</si>
  <si>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</si>
  <si>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</si>
  <si>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</si>
  <si>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</si>
  <si>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</si>
  <si>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</si>
  <si>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</si>
  <si>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</si>
  <si>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</si>
  <si>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</si>
  <si>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</si>
  <si>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</si>
  <si>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</si>
  <si>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</si>
  <si>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</si>
  <si>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</si>
  <si>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</si>
  <si>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</si>
  <si>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</si>
  <si>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</si>
  <si>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</si>
  <si>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</si>
  <si>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</si>
  <si>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</si>
  <si>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</si>
  <si>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</si>
  <si>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</si>
  <si>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</si>
  <si>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</si>
  <si>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</si>
  <si>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</si>
  <si>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</si>
  <si>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</si>
  <si>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</si>
  <si>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</si>
  <si>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</si>
  <si>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</si>
  <si>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</si>
  <si>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</si>
  <si>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</si>
  <si>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</si>
  <si>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</si>
  <si>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</si>
  <si>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</si>
  <si>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</si>
  <si>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</si>
  <si>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</si>
  <si>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</si>
  <si>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</si>
  <si>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</si>
  <si>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</si>
  <si>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</si>
  <si>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</si>
  <si>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</si>
  <si>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</si>
  <si>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</si>
  <si>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</si>
  <si>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</si>
  <si>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</si>
  <si>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</si>
  <si>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</si>
  <si>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</si>
  <si>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</si>
  <si>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</si>
  <si>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</si>
  <si>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</si>
  <si>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</si>
  <si>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</si>
  <si>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</si>
  <si>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</si>
  <si>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</si>
  <si>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</si>
  <si>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</si>
  <si>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</si>
  <si>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</si>
  <si>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</si>
  <si>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</si>
  <si>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</si>
  <si>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</si>
  <si>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</si>
  <si>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</si>
  <si>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</si>
  <si>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</si>
  <si>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</si>
  <si>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</si>
  <si>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</si>
  <si>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</si>
  <si>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</si>
  <si>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</si>
  <si>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</si>
  <si>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</si>
  <si>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</si>
  <si>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</si>
  <si>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</si>
  <si>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</si>
  <si>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</si>
  <si>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</si>
  <si>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</si>
  <si>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</si>
  <si>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</si>
  <si>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</si>
  <si>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</si>
  <si>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</si>
  <si>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</si>
  <si>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</si>
  <si>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</si>
  <si>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</si>
  <si>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</si>
  <si>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</si>
  <si>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</si>
  <si>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</si>
  <si>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</si>
  <si>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</si>
  <si>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</si>
  <si>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</si>
  <si>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</si>
  <si>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</si>
  <si>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</si>
  <si>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</si>
  <si>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</si>
  <si>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</si>
  <si>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</si>
  <si>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</si>
  <si>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</si>
  <si>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</si>
  <si>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</si>
  <si>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</si>
  <si>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</si>
  <si>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</si>
  <si>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</si>
  <si>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</si>
  <si>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</si>
  <si>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</si>
  <si>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</si>
  <si>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</si>
  <si>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</si>
  <si>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</si>
  <si>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</si>
  <si>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</si>
  <si>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</si>
  <si>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</si>
  <si>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</si>
  <si>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</si>
  <si>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</si>
  <si>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</si>
  <si>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</si>
  <si>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</si>
  <si>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</si>
  <si>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</si>
  <si>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</si>
  <si>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</si>
  <si>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</si>
  <si>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</si>
  <si>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</si>
  <si>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</si>
  <si>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</si>
  <si>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</si>
  <si>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</si>
  <si>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</si>
  <si>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</si>
  <si>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</si>
  <si>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</si>
  <si>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</si>
  <si>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</si>
  <si>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</si>
  <si>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</si>
  <si>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</si>
  <si>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</si>
  <si>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</si>
  <si>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</si>
  <si>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</si>
  <si>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</si>
  <si>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</si>
  <si>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</si>
  <si>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</si>
  <si>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</si>
  <si>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</si>
  <si>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</si>
  <si>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</si>
  <si>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</si>
  <si>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</si>
  <si>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</si>
  <si>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</si>
  <si>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</si>
  <si>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</si>
  <si>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</si>
  <si>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</si>
  <si>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</si>
  <si>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</si>
  <si>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</si>
  <si>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</si>
  <si>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</si>
  <si>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</si>
  <si>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</si>
  <si>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</si>
  <si>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</si>
  <si>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</si>
  <si>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</si>
  <si>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</si>
  <si>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</si>
  <si>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</si>
  <si>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</si>
  <si>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</si>
  <si>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</si>
  <si>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</si>
  <si>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</si>
  <si>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</si>
  <si>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</si>
  <si>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</si>
  <si>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</si>
  <si>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</si>
  <si>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</si>
  <si>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</si>
  <si>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</si>
  <si>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</si>
  <si>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</si>
  <si>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</si>
  <si>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</si>
  <si>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</si>
  <si>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</si>
  <si>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</si>
  <si>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</si>
  <si>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</si>
  <si>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</si>
  <si>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</si>
  <si>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</si>
  <si>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</si>
  <si>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</si>
  <si>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</si>
  <si>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</si>
  <si>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</si>
  <si>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</si>
  <si>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</si>
  <si>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</si>
  <si>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</si>
  <si>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</si>
  <si>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</si>
  <si>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</si>
  <si>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</si>
  <si>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</si>
  <si>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</si>
  <si>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</si>
  <si>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</si>
  <si>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</si>
  <si>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</si>
  <si>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</si>
  <si>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</si>
  <si>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</si>
  <si>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</si>
  <si>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</si>
  <si>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</si>
  <si>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</si>
  <si>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</si>
  <si>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</si>
  <si>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</si>
  <si>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</si>
  <si>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</si>
  <si>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</si>
  <si>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</si>
  <si>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</si>
  <si>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</si>
  <si>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</si>
  <si>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</si>
  <si>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</si>
  <si>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</si>
  <si>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</si>
  <si>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</si>
  <si>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</si>
  <si>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</si>
  <si>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</si>
  <si>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</si>
  <si>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</si>
  <si>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</si>
  <si>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</si>
  <si>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</si>
  <si>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</si>
  <si>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</si>
  <si>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</si>
  <si>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</si>
  <si>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</si>
  <si>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</si>
  <si>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</si>
  <si>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</si>
  <si>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</si>
  <si>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</si>
  <si>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</si>
  <si>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</si>
  <si>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</si>
  <si>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</si>
  <si>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</si>
  <si>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</si>
  <si>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</si>
  <si>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</si>
  <si>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</si>
  <si>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</si>
  <si>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</si>
  <si>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</si>
  <si>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</si>
  <si>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</si>
  <si>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</si>
  <si>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</si>
  <si>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</si>
  <si>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</si>
  <si>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</si>
  <si>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</si>
  <si>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</si>
  <si>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</si>
  <si>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</si>
  <si>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</si>
  <si>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</si>
  <si>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</si>
  <si>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</si>
  <si>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</si>
  <si>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</si>
  <si>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</si>
  <si>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</si>
  <si>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</si>
  <si>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</si>
  <si>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</si>
  <si>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</si>
  <si>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</si>
  <si>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</si>
  <si>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</si>
  <si>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</si>
  <si>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</si>
  <si>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</si>
  <si>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</si>
  <si>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</si>
  <si>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</si>
  <si>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</si>
  <si>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</si>
  <si>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</si>
  <si>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</si>
  <si>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</si>
  <si>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</si>
  <si>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</si>
  <si>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</si>
  <si>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</si>
  <si>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</si>
  <si>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</si>
  <si>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</si>
  <si>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</si>
  <si>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</si>
  <si>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</si>
  <si>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</si>
  <si>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</si>
  <si>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</si>
  <si>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</si>
  <si>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</si>
  <si>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</si>
  <si>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</si>
  <si>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</si>
  <si>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</si>
  <si>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</si>
  <si>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</si>
  <si>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</si>
  <si>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</si>
  <si>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</si>
  <si>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</si>
  <si>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</si>
  <si>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</si>
  <si>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</si>
  <si>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</si>
  <si>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</si>
  <si>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</si>
  <si>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</si>
  <si>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</si>
  <si>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</si>
  <si>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</si>
  <si>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</si>
  <si>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</si>
  <si>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</si>
  <si>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</si>
  <si>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</si>
  <si>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</si>
  <si>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</si>
  <si>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</si>
  <si>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</si>
  <si>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</si>
  <si>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</si>
  <si>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</si>
  <si>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</si>
  <si>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</si>
  <si>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</si>
  <si>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</si>
  <si>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</si>
  <si>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</si>
  <si>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</si>
  <si>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</si>
  <si>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</si>
  <si>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</si>
  <si>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</si>
  <si>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</si>
  <si>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</si>
  <si>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</si>
  <si>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</si>
  <si>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</si>
  <si>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</si>
  <si>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</si>
  <si>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</si>
  <si>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</si>
  <si>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</si>
  <si>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</si>
  <si>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</si>
  <si>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</si>
  <si>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</si>
  <si>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</si>
  <si>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</si>
  <si>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</si>
  <si>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</si>
  <si>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</si>
  <si>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</si>
  <si>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</si>
  <si>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</si>
  <si>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</si>
  <si>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</si>
  <si>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</si>
  <si>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</si>
  <si>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</si>
  <si>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</si>
  <si>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</si>
  <si>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</si>
  <si>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</si>
  <si>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</si>
  <si>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</si>
  <si>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</si>
  <si>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</si>
  <si>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</si>
  <si>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</si>
  <si>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</si>
  <si>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</si>
  <si>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</si>
  <si>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</si>
  <si>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</si>
  <si>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</si>
  <si>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</si>
  <si>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</si>
  <si>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</si>
  <si>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</si>
  <si>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</si>
  <si>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</si>
  <si>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</si>
  <si>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</si>
  <si>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</si>
  <si>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</si>
  <si>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</si>
  <si>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</si>
  <si>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</si>
  <si>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</si>
  <si>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</si>
  <si>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</si>
  <si>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</si>
  <si>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</si>
  <si>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</si>
  <si>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</si>
  <si>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</si>
  <si>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</si>
  <si>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</si>
  <si>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</si>
  <si>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</si>
  <si>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</si>
  <si>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</si>
  <si>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</si>
  <si>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</si>
  <si>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</si>
  <si>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</si>
  <si>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</si>
  <si>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</si>
  <si>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</si>
  <si>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</si>
  <si>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</si>
  <si>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</si>
  <si>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</si>
  <si>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</si>
  <si>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</si>
  <si>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</si>
  <si>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</si>
  <si>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</si>
  <si>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</si>
  <si>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</si>
  <si>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</si>
  <si>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</si>
  <si>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</si>
  <si>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</si>
  <si>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</si>
  <si>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 xml:space="preserve">                CONWAY SCHOOL DISTRICT</t>
  </si>
  <si>
    <t xml:space="preserve"> SEIDENSTUCKER EXP TRUST</t>
  </si>
  <si>
    <t xml:space="preserve">   Food Serv- Incr Inventory</t>
  </si>
  <si>
    <t xml:space="preserve">  Fund 22  -  Prior Yr Check Voided But Did Not Post Correctly</t>
  </si>
  <si>
    <t>12/03</t>
  </si>
  <si>
    <t>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</si>
</sst>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113</v>
      </c>
      <c r="C2" s="21">
        <v>113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1206528.25+450</f>
        <v>1206978.25</v>
      </c>
      <c r="G9" s="18">
        <v>290778.53999999998</v>
      </c>
      <c r="H9" s="18">
        <v>0</v>
      </c>
      <c r="I9" s="18"/>
      <c r="J9" s="67">
        <f>SUM(I439)</f>
        <v>1417910.5699999998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862982.86+343.14</f>
        <v>863326</v>
      </c>
      <c r="G12" s="18">
        <v>131753.85999999999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206090.33</v>
      </c>
      <c r="G13" s="18">
        <v>90169.37</v>
      </c>
      <c r="H13" s="18">
        <v>495164.91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42418.35-343.14</f>
        <v>42075.21</v>
      </c>
      <c r="G14" s="18">
        <v>2427.4899999999998</v>
      </c>
      <c r="H14" s="18">
        <v>3200.25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37080.78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2318469.79</v>
      </c>
      <c r="G19" s="41">
        <f>SUM(G9:G18)</f>
        <v>552210.03999999992</v>
      </c>
      <c r="H19" s="41">
        <f>SUM(H9:H18)</f>
        <v>498365.16</v>
      </c>
      <c r="I19" s="41">
        <f>SUM(I9:I18)</f>
        <v>0</v>
      </c>
      <c r="J19" s="41">
        <f>SUM(J9:J18)</f>
        <v>1417910.5699999998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131753.85999999999</v>
      </c>
      <c r="G22" s="18">
        <v>512639.82</v>
      </c>
      <c r="H22" s="18">
        <v>350686.18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72302.47</v>
      </c>
      <c r="G24" s="18">
        <v>2489.44</v>
      </c>
      <c r="H24" s="18">
        <v>3844.39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21149.95</v>
      </c>
      <c r="G28" s="18"/>
      <c r="H28" s="18">
        <v>235.04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833.89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226040.17</v>
      </c>
      <c r="G32" s="41">
        <f>SUM(G22:G31)</f>
        <v>515129.26</v>
      </c>
      <c r="H32" s="41">
        <f>SUM(H22:H31)</f>
        <v>354765.61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37080.78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414947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0</v>
      </c>
      <c r="H48" s="18">
        <v>143599.54999999999</v>
      </c>
      <c r="I48" s="18"/>
      <c r="J48" s="13">
        <f>SUM(I459)</f>
        <v>1417910.5699999998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40000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1637482.62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2092429.62</v>
      </c>
      <c r="G51" s="41">
        <f>SUM(G35:G50)</f>
        <v>37080.78</v>
      </c>
      <c r="H51" s="41">
        <f>SUM(H35:H50)</f>
        <v>143599.54999999999</v>
      </c>
      <c r="I51" s="41">
        <f>SUM(I35:I50)</f>
        <v>0</v>
      </c>
      <c r="J51" s="41">
        <f>SUM(J35:J50)</f>
        <v>1417910.5699999998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2318469.79</v>
      </c>
      <c r="G52" s="41">
        <f>G51+G32</f>
        <v>552210.04</v>
      </c>
      <c r="H52" s="41">
        <f>H51+H32</f>
        <v>498365.16</v>
      </c>
      <c r="I52" s="41">
        <f>I51+I32</f>
        <v>0</v>
      </c>
      <c r="J52" s="41">
        <f>J51+J32</f>
        <v>1417910.5699999998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13099013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13099013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1145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9422940.75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9424085.75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40825.54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40825.54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1536.87</v>
      </c>
      <c r="G96" s="18"/>
      <c r="H96" s="18"/>
      <c r="I96" s="18"/>
      <c r="J96" s="18">
        <v>3434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287877.63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45268.65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5467.5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257908.04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91308.98</v>
      </c>
      <c r="G110" s="18"/>
      <c r="H110" s="18">
        <v>240525.14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401490.04</v>
      </c>
      <c r="G111" s="41">
        <f>SUM(G96:G110)</f>
        <v>287877.63</v>
      </c>
      <c r="H111" s="41">
        <f>SUM(H96:H110)</f>
        <v>240525.14</v>
      </c>
      <c r="I111" s="41">
        <f>SUM(I96:I110)</f>
        <v>0</v>
      </c>
      <c r="J111" s="41">
        <f>SUM(J96:J110)</f>
        <v>3434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22965414.329999998</v>
      </c>
      <c r="G112" s="41">
        <f>G60+G111</f>
        <v>287877.63</v>
      </c>
      <c r="H112" s="41">
        <f>H60+H79+H94+H111</f>
        <v>240525.14</v>
      </c>
      <c r="I112" s="41">
        <f>I60+I111</f>
        <v>0</v>
      </c>
      <c r="J112" s="41">
        <f>J60+J111</f>
        <v>3434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3158849.59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3498863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6657712.5899999999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1060664.1000000001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179648.46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50478.7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9831.81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9409.9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1249722.46</v>
      </c>
      <c r="G136" s="41">
        <f>SUM(G123:G135)</f>
        <v>9831.81</v>
      </c>
      <c r="H136" s="41">
        <f>SUM(H123:H135)</f>
        <v>50478.7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7907435.0499999998</v>
      </c>
      <c r="G140" s="41">
        <f>G121+SUM(G136:G137)</f>
        <v>9831.81</v>
      </c>
      <c r="H140" s="41">
        <f>H121+SUM(H136:H139)</f>
        <v>50478.7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563284.25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452528.98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88819.61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411319.77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393935.33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274445.59999999998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274445.59999999998</v>
      </c>
      <c r="G162" s="41">
        <f>SUM(G150:G161)</f>
        <v>411319.77</v>
      </c>
      <c r="H162" s="41">
        <f>SUM(H150:H161)</f>
        <v>1498568.1700000002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872.75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275318.34999999998</v>
      </c>
      <c r="G169" s="41">
        <f>G147+G162+SUM(G163:G168)</f>
        <v>411319.77</v>
      </c>
      <c r="H169" s="41">
        <f>H147+H162+SUM(H163:H168)</f>
        <v>1498568.1700000002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131753.85999999999</v>
      </c>
      <c r="H179" s="18"/>
      <c r="I179" s="18"/>
      <c r="J179" s="18">
        <v>81429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131753.85999999999</v>
      </c>
      <c r="H183" s="41">
        <f>SUM(H179:H182)</f>
        <v>0</v>
      </c>
      <c r="I183" s="41">
        <f>SUM(I179:I182)</f>
        <v>0</v>
      </c>
      <c r="J183" s="41">
        <f>SUM(J179:J182)</f>
        <v>81429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131753.85999999999</v>
      </c>
      <c r="H192" s="41">
        <f>+H183+SUM(H188:H191)</f>
        <v>0</v>
      </c>
      <c r="I192" s="41">
        <f>I177+I183+SUM(I188:I191)</f>
        <v>0</v>
      </c>
      <c r="J192" s="41">
        <f>J183</f>
        <v>81429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31148167.73</v>
      </c>
      <c r="G193" s="47">
        <f>G112+G140+G169+G192</f>
        <v>840783.07</v>
      </c>
      <c r="H193" s="47">
        <f>H112+H140+H169+H192</f>
        <v>1789572.0100000002</v>
      </c>
      <c r="I193" s="47">
        <f>I112+I140+I169+I192</f>
        <v>0</v>
      </c>
      <c r="J193" s="47">
        <f>J112+J140+J192</f>
        <v>84863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2672072.21+101781.45</f>
        <v>2773853.66</v>
      </c>
      <c r="G197" s="18">
        <f>1449132.17+519020.21</f>
        <v>1968152.38</v>
      </c>
      <c r="H197" s="18">
        <v>19863.86</v>
      </c>
      <c r="I197" s="18">
        <v>142977.76999999999</v>
      </c>
      <c r="J197" s="18">
        <v>132340.82999999999</v>
      </c>
      <c r="K197" s="18">
        <v>0</v>
      </c>
      <c r="L197" s="19">
        <f>SUM(F197:K197)</f>
        <v>5037188.5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1259598.48</v>
      </c>
      <c r="G198" s="18">
        <v>871036.39</v>
      </c>
      <c r="H198" s="18">
        <v>720212.97</v>
      </c>
      <c r="I198" s="18">
        <v>2382.73</v>
      </c>
      <c r="J198" s="18">
        <v>0</v>
      </c>
      <c r="K198" s="18">
        <v>0</v>
      </c>
      <c r="L198" s="19">
        <f>SUM(F198:K198)</f>
        <v>2853230.57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24761.41</v>
      </c>
      <c r="G200" s="18">
        <v>4071.9</v>
      </c>
      <c r="H200" s="18">
        <v>4791.6000000000004</v>
      </c>
      <c r="I200" s="18">
        <v>122.91</v>
      </c>
      <c r="J200" s="18">
        <v>0</v>
      </c>
      <c r="K200" s="18">
        <v>0</v>
      </c>
      <c r="L200" s="19">
        <f>SUM(F200:K200)</f>
        <v>33747.820000000007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517278</v>
      </c>
      <c r="G202" s="18">
        <v>329639.74</v>
      </c>
      <c r="H202" s="18">
        <v>109188.09</v>
      </c>
      <c r="I202" s="18">
        <v>5351.86</v>
      </c>
      <c r="J202" s="18">
        <v>3354</v>
      </c>
      <c r="K202" s="18">
        <v>0</v>
      </c>
      <c r="L202" s="19">
        <f t="shared" ref="L202:L208" si="0">SUM(F202:K202)</f>
        <v>964811.69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115261.25</v>
      </c>
      <c r="G203" s="18">
        <v>109424.32000000001</v>
      </c>
      <c r="H203" s="18">
        <v>19370.62</v>
      </c>
      <c r="I203" s="18">
        <v>26502.21</v>
      </c>
      <c r="J203" s="18">
        <v>2866.45</v>
      </c>
      <c r="K203" s="18">
        <v>0</v>
      </c>
      <c r="L203" s="19">
        <f t="shared" si="0"/>
        <v>273424.85000000003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8933.64</v>
      </c>
      <c r="G204" s="18">
        <v>683.46</v>
      </c>
      <c r="H204" s="18">
        <v>429084.33</v>
      </c>
      <c r="I204" s="18">
        <v>2307.09</v>
      </c>
      <c r="J204" s="18">
        <v>0</v>
      </c>
      <c r="K204" s="18">
        <v>2241.0500000000002</v>
      </c>
      <c r="L204" s="19">
        <f t="shared" si="0"/>
        <v>443249.57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324343.90000000002</v>
      </c>
      <c r="G205" s="18">
        <v>173792.16</v>
      </c>
      <c r="H205" s="18">
        <v>48773.3</v>
      </c>
      <c r="I205" s="18">
        <v>4279.1000000000004</v>
      </c>
      <c r="J205" s="18">
        <v>1277.97</v>
      </c>
      <c r="K205" s="18">
        <v>2394</v>
      </c>
      <c r="L205" s="19">
        <f t="shared" si="0"/>
        <v>554860.43000000005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298849.58</v>
      </c>
      <c r="G207" s="18">
        <v>169454.85</v>
      </c>
      <c r="H207" s="18">
        <v>385932.38</v>
      </c>
      <c r="I207" s="18">
        <v>271677.21000000002</v>
      </c>
      <c r="J207" s="18">
        <v>22139.4</v>
      </c>
      <c r="K207" s="18">
        <v>0</v>
      </c>
      <c r="L207" s="19">
        <f t="shared" si="0"/>
        <v>1148053.42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147523.49</v>
      </c>
      <c r="G208" s="18">
        <v>63337.43</v>
      </c>
      <c r="H208" s="18">
        <v>64108.01</v>
      </c>
      <c r="I208" s="18">
        <v>31143.119999999999</v>
      </c>
      <c r="J208" s="18">
        <v>35122</v>
      </c>
      <c r="K208" s="18">
        <v>0</v>
      </c>
      <c r="L208" s="19">
        <f t="shared" si="0"/>
        <v>341234.05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910.67</v>
      </c>
      <c r="I209" s="18"/>
      <c r="J209" s="18"/>
      <c r="K209" s="18"/>
      <c r="L209" s="19">
        <f>SUM(F209:K209)</f>
        <v>910.67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5470403.4100000011</v>
      </c>
      <c r="G211" s="41">
        <f t="shared" si="1"/>
        <v>3689592.6300000004</v>
      </c>
      <c r="H211" s="41">
        <f t="shared" si="1"/>
        <v>1802235.8299999998</v>
      </c>
      <c r="I211" s="41">
        <f t="shared" si="1"/>
        <v>486744</v>
      </c>
      <c r="J211" s="41">
        <f t="shared" si="1"/>
        <v>197100.65</v>
      </c>
      <c r="K211" s="41">
        <f t="shared" si="1"/>
        <v>4635.05</v>
      </c>
      <c r="L211" s="41">
        <f t="shared" si="1"/>
        <v>11650711.57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1145761.54+29493.55</f>
        <v>1175255.0900000001</v>
      </c>
      <c r="G215" s="18">
        <f>586785.49+191550.76</f>
        <v>778336.25</v>
      </c>
      <c r="H215" s="18">
        <v>9939.27</v>
      </c>
      <c r="I215" s="18">
        <v>56392.95</v>
      </c>
      <c r="J215" s="18">
        <v>95556.23</v>
      </c>
      <c r="K215" s="18">
        <v>0</v>
      </c>
      <c r="L215" s="19">
        <f>SUM(F215:K215)</f>
        <v>2115479.79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382227.24</v>
      </c>
      <c r="G216" s="18">
        <v>274342.68</v>
      </c>
      <c r="H216" s="18">
        <v>140.91</v>
      </c>
      <c r="I216" s="18">
        <v>8205.0300000000007</v>
      </c>
      <c r="J216" s="18">
        <v>1384.82</v>
      </c>
      <c r="K216" s="18">
        <v>0</v>
      </c>
      <c r="L216" s="19">
        <f>SUM(F216:K216)</f>
        <v>666300.67999999993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60195</v>
      </c>
      <c r="G218" s="18">
        <v>7988.42</v>
      </c>
      <c r="H218" s="18">
        <v>15243.4</v>
      </c>
      <c r="I218" s="18">
        <v>6686.78</v>
      </c>
      <c r="J218" s="18">
        <v>2375.0100000000002</v>
      </c>
      <c r="K218" s="18">
        <v>1213.3599999999999</v>
      </c>
      <c r="L218" s="19">
        <f>SUM(F218:K218)</f>
        <v>93701.969999999987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117530.33</v>
      </c>
      <c r="G220" s="18">
        <v>56726.69</v>
      </c>
      <c r="H220" s="18">
        <v>7313.79</v>
      </c>
      <c r="I220" s="18">
        <v>3760.72</v>
      </c>
      <c r="J220" s="18">
        <v>818.15</v>
      </c>
      <c r="K220" s="18">
        <v>29</v>
      </c>
      <c r="L220" s="19">
        <f t="shared" ref="L220:L226" si="2">SUM(F220:K220)</f>
        <v>186178.68000000002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48338</v>
      </c>
      <c r="G221" s="18">
        <v>40714.120000000003</v>
      </c>
      <c r="H221" s="18">
        <v>10952.6</v>
      </c>
      <c r="I221" s="18">
        <v>9298.5400000000009</v>
      </c>
      <c r="J221" s="18">
        <v>1200</v>
      </c>
      <c r="K221" s="18">
        <v>811</v>
      </c>
      <c r="L221" s="19">
        <f t="shared" si="2"/>
        <v>111314.26000000001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3307.87</v>
      </c>
      <c r="G222" s="18">
        <v>253.07</v>
      </c>
      <c r="H222" s="18">
        <v>158877.17000000001</v>
      </c>
      <c r="I222" s="18">
        <v>854.25</v>
      </c>
      <c r="J222" s="18">
        <v>0</v>
      </c>
      <c r="K222" s="18">
        <v>829.79</v>
      </c>
      <c r="L222" s="19">
        <f t="shared" si="2"/>
        <v>164122.15000000002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147969.57999999999</v>
      </c>
      <c r="G223" s="18">
        <v>71008.97</v>
      </c>
      <c r="H223" s="18">
        <v>29084.85</v>
      </c>
      <c r="I223" s="18">
        <v>1116.1500000000001</v>
      </c>
      <c r="J223" s="18">
        <v>0</v>
      </c>
      <c r="K223" s="18">
        <v>3225.06</v>
      </c>
      <c r="L223" s="19">
        <f t="shared" si="2"/>
        <v>252404.61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255625.88</v>
      </c>
      <c r="G225" s="18">
        <v>157610.51</v>
      </c>
      <c r="H225" s="18">
        <v>326087.87</v>
      </c>
      <c r="I225" s="18">
        <v>238134.06</v>
      </c>
      <c r="J225" s="18">
        <v>16686.7</v>
      </c>
      <c r="K225" s="18">
        <v>0</v>
      </c>
      <c r="L225" s="19">
        <f t="shared" si="2"/>
        <v>994145.02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42885.97</v>
      </c>
      <c r="G226" s="18">
        <v>20245.2</v>
      </c>
      <c r="H226" s="18">
        <v>9880.06</v>
      </c>
      <c r="I226" s="18">
        <v>11531.37</v>
      </c>
      <c r="J226" s="18">
        <v>13004</v>
      </c>
      <c r="K226" s="18">
        <v>0</v>
      </c>
      <c r="L226" s="19">
        <f t="shared" si="2"/>
        <v>97546.599999999991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337.19</v>
      </c>
      <c r="I227" s="18"/>
      <c r="J227" s="18"/>
      <c r="K227" s="18"/>
      <c r="L227" s="19">
        <f>SUM(F227:K227)</f>
        <v>337.19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2233334.9600000004</v>
      </c>
      <c r="G229" s="41">
        <f>SUM(G215:G228)</f>
        <v>1407225.91</v>
      </c>
      <c r="H229" s="41">
        <f>SUM(H215:H228)</f>
        <v>567857.11</v>
      </c>
      <c r="I229" s="41">
        <f>SUM(I215:I228)</f>
        <v>335979.85</v>
      </c>
      <c r="J229" s="41">
        <f>SUM(J215:J228)</f>
        <v>131024.90999999999</v>
      </c>
      <c r="K229" s="41">
        <f t="shared" si="3"/>
        <v>6108.2099999999991</v>
      </c>
      <c r="L229" s="41">
        <f t="shared" si="3"/>
        <v>4681530.95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2406870+69767.2</f>
        <v>2476637.2000000002</v>
      </c>
      <c r="G233" s="18">
        <f>1393401.5+560910.61</f>
        <v>1954312.1099999999</v>
      </c>
      <c r="H233" s="18">
        <v>15181.2</v>
      </c>
      <c r="I233" s="18">
        <v>124611.15</v>
      </c>
      <c r="J233" s="18">
        <v>169266.96</v>
      </c>
      <c r="K233" s="18">
        <v>0</v>
      </c>
      <c r="L233" s="19">
        <f>SUM(F233:K233)</f>
        <v>4740008.620000001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672714.74</v>
      </c>
      <c r="G234" s="18">
        <v>489808.43</v>
      </c>
      <c r="H234" s="18">
        <v>277457.95</v>
      </c>
      <c r="I234" s="18">
        <v>4885.26</v>
      </c>
      <c r="J234" s="18">
        <v>2868</v>
      </c>
      <c r="K234" s="18">
        <v>0</v>
      </c>
      <c r="L234" s="19">
        <f>SUM(F234:K234)</f>
        <v>1447734.38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467037.33</v>
      </c>
      <c r="G235" s="18">
        <v>243685.81</v>
      </c>
      <c r="H235" s="18">
        <v>27535.19</v>
      </c>
      <c r="I235" s="18">
        <v>65277.33</v>
      </c>
      <c r="J235" s="18">
        <v>6189.22</v>
      </c>
      <c r="K235" s="18">
        <v>0</v>
      </c>
      <c r="L235" s="19">
        <f>SUM(F235:K235)</f>
        <v>809724.87999999989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180293</v>
      </c>
      <c r="G236" s="18">
        <v>35963.4</v>
      </c>
      <c r="H236" s="18">
        <v>104417.06</v>
      </c>
      <c r="I236" s="18">
        <v>19750.25</v>
      </c>
      <c r="J236" s="18">
        <v>2416.79</v>
      </c>
      <c r="K236" s="18">
        <v>10141.049999999999</v>
      </c>
      <c r="L236" s="19">
        <f>SUM(F236:K236)</f>
        <v>352981.54999999993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573379.18000000005</v>
      </c>
      <c r="G238" s="18">
        <v>347173.06</v>
      </c>
      <c r="H238" s="18">
        <v>69943.08</v>
      </c>
      <c r="I238" s="18">
        <v>13371.81</v>
      </c>
      <c r="J238" s="18">
        <v>455.31</v>
      </c>
      <c r="K238" s="18">
        <v>90</v>
      </c>
      <c r="L238" s="19">
        <f t="shared" ref="L238:L244" si="4">SUM(F238:K238)</f>
        <v>1004412.4400000001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65952.37</v>
      </c>
      <c r="G239" s="18">
        <v>42220.7</v>
      </c>
      <c r="H239" s="18">
        <v>36987.879999999997</v>
      </c>
      <c r="I239" s="18">
        <v>12210.4</v>
      </c>
      <c r="J239" s="18">
        <v>0</v>
      </c>
      <c r="K239" s="18">
        <v>1046</v>
      </c>
      <c r="L239" s="19">
        <f t="shared" si="4"/>
        <v>158417.34999999998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9708.49</v>
      </c>
      <c r="G240" s="18">
        <v>742.75</v>
      </c>
      <c r="H240" s="18">
        <v>466299.74</v>
      </c>
      <c r="I240" s="18">
        <v>2507.19</v>
      </c>
      <c r="J240" s="18">
        <v>0</v>
      </c>
      <c r="K240" s="18">
        <v>2435.42</v>
      </c>
      <c r="L240" s="19">
        <f t="shared" si="4"/>
        <v>481693.58999999997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405221.13</v>
      </c>
      <c r="G241" s="18">
        <v>216024.25</v>
      </c>
      <c r="H241" s="18">
        <v>68670.12</v>
      </c>
      <c r="I241" s="18">
        <v>19051.689999999999</v>
      </c>
      <c r="J241" s="18">
        <v>1671.67</v>
      </c>
      <c r="K241" s="18">
        <v>15626.92</v>
      </c>
      <c r="L241" s="19">
        <f t="shared" si="4"/>
        <v>726265.78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493968.87</v>
      </c>
      <c r="G243" s="18">
        <v>293171.49</v>
      </c>
      <c r="H243" s="18">
        <v>446758.13</v>
      </c>
      <c r="I243" s="18">
        <v>470776.72</v>
      </c>
      <c r="J243" s="18">
        <v>23975.37</v>
      </c>
      <c r="K243" s="18">
        <v>0</v>
      </c>
      <c r="L243" s="19">
        <f t="shared" si="4"/>
        <v>1728650.58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116524.83</v>
      </c>
      <c r="G244" s="18">
        <v>54353.14</v>
      </c>
      <c r="H244" s="18">
        <v>70780.08</v>
      </c>
      <c r="I244" s="18">
        <v>33844.230000000003</v>
      </c>
      <c r="J244" s="18">
        <v>38168</v>
      </c>
      <c r="K244" s="18">
        <v>0</v>
      </c>
      <c r="L244" s="19">
        <f t="shared" si="4"/>
        <v>313670.27999999997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989.65</v>
      </c>
      <c r="I245" s="18"/>
      <c r="J245" s="18"/>
      <c r="K245" s="18"/>
      <c r="L245" s="19">
        <f>SUM(F245:K245)</f>
        <v>989.65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5461437.1400000006</v>
      </c>
      <c r="G247" s="41">
        <f t="shared" si="5"/>
        <v>3677455.14</v>
      </c>
      <c r="H247" s="41">
        <f t="shared" si="5"/>
        <v>1585020.08</v>
      </c>
      <c r="I247" s="41">
        <f t="shared" si="5"/>
        <v>766286.02999999991</v>
      </c>
      <c r="J247" s="41">
        <f t="shared" si="5"/>
        <v>245011.32</v>
      </c>
      <c r="K247" s="41">
        <f t="shared" si="5"/>
        <v>29339.39</v>
      </c>
      <c r="L247" s="41">
        <f t="shared" si="5"/>
        <v>11764549.1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287500</v>
      </c>
      <c r="I255" s="18"/>
      <c r="J255" s="18"/>
      <c r="K255" s="18"/>
      <c r="L255" s="19">
        <f t="shared" si="6"/>
        <v>287500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287500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287500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13165175.510000002</v>
      </c>
      <c r="G257" s="41">
        <f t="shared" si="8"/>
        <v>8774273.6799999997</v>
      </c>
      <c r="H257" s="41">
        <f t="shared" si="8"/>
        <v>4242613.0199999996</v>
      </c>
      <c r="I257" s="41">
        <f t="shared" si="8"/>
        <v>1589009.88</v>
      </c>
      <c r="J257" s="41">
        <f t="shared" si="8"/>
        <v>573136.88</v>
      </c>
      <c r="K257" s="41">
        <f t="shared" si="8"/>
        <v>40082.649999999994</v>
      </c>
      <c r="L257" s="41">
        <f t="shared" si="8"/>
        <v>28384291.619999997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1850000</v>
      </c>
      <c r="L260" s="19">
        <f>SUM(F260:K260)</f>
        <v>1850000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717724.5</v>
      </c>
      <c r="L261" s="19">
        <f>SUM(F261:K261)</f>
        <v>717724.5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131753.85999999999</v>
      </c>
      <c r="L263" s="19">
        <f>SUM(F263:K263)</f>
        <v>131753.85999999999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81429</v>
      </c>
      <c r="L266" s="19">
        <f t="shared" si="9"/>
        <v>81429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2780907.36</v>
      </c>
      <c r="L270" s="41">
        <f t="shared" si="9"/>
        <v>2780907.36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13165175.510000002</v>
      </c>
      <c r="G271" s="42">
        <f t="shared" si="11"/>
        <v>8774273.6799999997</v>
      </c>
      <c r="H271" s="42">
        <f t="shared" si="11"/>
        <v>4242613.0199999996</v>
      </c>
      <c r="I271" s="42">
        <f t="shared" si="11"/>
        <v>1589009.88</v>
      </c>
      <c r="J271" s="42">
        <f t="shared" si="11"/>
        <v>573136.88</v>
      </c>
      <c r="K271" s="42">
        <f t="shared" si="11"/>
        <v>2820990.01</v>
      </c>
      <c r="L271" s="42">
        <f t="shared" si="11"/>
        <v>31165198.979999997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329901.78000000003</v>
      </c>
      <c r="G276" s="18">
        <v>126816.05</v>
      </c>
      <c r="H276" s="18">
        <v>0</v>
      </c>
      <c r="I276" s="18">
        <v>78338.97</v>
      </c>
      <c r="J276" s="18">
        <v>31942.17</v>
      </c>
      <c r="K276" s="18"/>
      <c r="L276" s="19">
        <f>SUM(F276:K276)</f>
        <v>566998.97000000009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28032.5</v>
      </c>
      <c r="G277" s="18">
        <v>17757.05</v>
      </c>
      <c r="H277" s="18">
        <v>35131.9</v>
      </c>
      <c r="I277" s="18">
        <v>2339.85</v>
      </c>
      <c r="J277" s="18">
        <v>5063.32</v>
      </c>
      <c r="K277" s="18"/>
      <c r="L277" s="19">
        <f>SUM(F277:K277)</f>
        <v>88324.620000000024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163678.59</v>
      </c>
      <c r="G279" s="18">
        <v>27042.2</v>
      </c>
      <c r="H279" s="18">
        <v>4055</v>
      </c>
      <c r="I279" s="18">
        <v>26362.92</v>
      </c>
      <c r="J279" s="18">
        <v>0</v>
      </c>
      <c r="K279" s="18"/>
      <c r="L279" s="19">
        <f>SUM(F279:K279)</f>
        <v>221138.71000000002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46242.62</v>
      </c>
      <c r="G281" s="18">
        <v>11617.05</v>
      </c>
      <c r="H281" s="18">
        <v>159765.67000000001</v>
      </c>
      <c r="I281" s="18">
        <v>0</v>
      </c>
      <c r="J281" s="18">
        <v>0</v>
      </c>
      <c r="K281" s="18"/>
      <c r="L281" s="19">
        <f t="shared" ref="L281:L287" si="12">SUM(F281:K281)</f>
        <v>217625.34000000003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14063.73</v>
      </c>
      <c r="G282" s="18">
        <v>3015.63</v>
      </c>
      <c r="H282" s="18">
        <v>119621.69</v>
      </c>
      <c r="I282" s="18">
        <v>5211.79</v>
      </c>
      <c r="J282" s="18">
        <v>11970.41</v>
      </c>
      <c r="K282" s="18"/>
      <c r="L282" s="19">
        <f t="shared" si="12"/>
        <v>153883.25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14092.9</v>
      </c>
      <c r="I287" s="18"/>
      <c r="J287" s="18"/>
      <c r="K287" s="18"/>
      <c r="L287" s="19">
        <f t="shared" si="12"/>
        <v>14092.9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581919.22</v>
      </c>
      <c r="G290" s="42">
        <f t="shared" si="13"/>
        <v>186247.98</v>
      </c>
      <c r="H290" s="42">
        <f t="shared" si="13"/>
        <v>332667.16000000003</v>
      </c>
      <c r="I290" s="42">
        <f t="shared" si="13"/>
        <v>112253.53</v>
      </c>
      <c r="J290" s="42">
        <f t="shared" si="13"/>
        <v>48975.899999999994</v>
      </c>
      <c r="K290" s="42">
        <f t="shared" si="13"/>
        <v>0</v>
      </c>
      <c r="L290" s="41">
        <f t="shared" si="13"/>
        <v>1262063.79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1015.3</v>
      </c>
      <c r="I295" s="18">
        <v>0</v>
      </c>
      <c r="J295" s="18">
        <v>5835.36</v>
      </c>
      <c r="K295" s="18"/>
      <c r="L295" s="19">
        <f>SUM(F295:K295)</f>
        <v>6850.66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>
        <v>678</v>
      </c>
      <c r="I296" s="18">
        <v>866.37</v>
      </c>
      <c r="J296" s="18">
        <v>1874.8</v>
      </c>
      <c r="K296" s="18"/>
      <c r="L296" s="19">
        <f>SUM(F296:K296)</f>
        <v>3419.17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10278.6</v>
      </c>
      <c r="G300" s="18">
        <v>3959.66</v>
      </c>
      <c r="H300" s="18">
        <v>11550.58</v>
      </c>
      <c r="I300" s="18">
        <v>0</v>
      </c>
      <c r="J300" s="18">
        <v>0</v>
      </c>
      <c r="K300" s="18"/>
      <c r="L300" s="19">
        <f t="shared" ref="L300:L306" si="14">SUM(F300:K300)</f>
        <v>25788.84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4732.2</v>
      </c>
      <c r="G301" s="18">
        <v>1014.52</v>
      </c>
      <c r="H301" s="18">
        <v>14528.92</v>
      </c>
      <c r="I301" s="18">
        <v>1201.95</v>
      </c>
      <c r="J301" s="18">
        <v>0</v>
      </c>
      <c r="K301" s="18"/>
      <c r="L301" s="19">
        <f t="shared" si="14"/>
        <v>21477.59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15010.8</v>
      </c>
      <c r="G309" s="42">
        <f t="shared" si="15"/>
        <v>4974.18</v>
      </c>
      <c r="H309" s="42">
        <f t="shared" si="15"/>
        <v>27772.799999999999</v>
      </c>
      <c r="I309" s="42">
        <f t="shared" si="15"/>
        <v>2068.3200000000002</v>
      </c>
      <c r="J309" s="42">
        <f t="shared" si="15"/>
        <v>7710.16</v>
      </c>
      <c r="K309" s="42">
        <f t="shared" si="15"/>
        <v>0</v>
      </c>
      <c r="L309" s="41">
        <f t="shared" si="15"/>
        <v>57536.259999999995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35682.239999999998</v>
      </c>
      <c r="G314" s="18">
        <v>30659.86</v>
      </c>
      <c r="H314" s="18">
        <v>0</v>
      </c>
      <c r="I314" s="18">
        <v>0</v>
      </c>
      <c r="J314" s="18">
        <v>17126.62</v>
      </c>
      <c r="K314" s="18"/>
      <c r="L314" s="19">
        <f>SUM(F314:K314)</f>
        <v>83468.72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1990</v>
      </c>
      <c r="I315" s="18">
        <v>2542.7800000000002</v>
      </c>
      <c r="J315" s="18">
        <v>5502.48</v>
      </c>
      <c r="K315" s="18"/>
      <c r="L315" s="19">
        <f>SUM(F315:K315)</f>
        <v>10035.26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4116.63</v>
      </c>
      <c r="G316" s="18">
        <v>5049.2</v>
      </c>
      <c r="H316" s="18">
        <v>12079.75</v>
      </c>
      <c r="I316" s="18">
        <v>12384.76</v>
      </c>
      <c r="J316" s="18">
        <v>40156.54</v>
      </c>
      <c r="K316" s="18"/>
      <c r="L316" s="19">
        <f>SUM(F316:K316)</f>
        <v>73786.880000000005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28840.48</v>
      </c>
      <c r="G319" s="18">
        <v>11621.47</v>
      </c>
      <c r="H319" s="18">
        <v>62000.01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102461.95999999999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8221</v>
      </c>
      <c r="G320" s="18">
        <v>1806.86</v>
      </c>
      <c r="H320" s="18">
        <v>102809.09</v>
      </c>
      <c r="I320" s="18">
        <v>10016.67</v>
      </c>
      <c r="J320" s="18">
        <v>0</v>
      </c>
      <c r="K320" s="18">
        <v>2540.0100000000002</v>
      </c>
      <c r="L320" s="19">
        <f t="shared" si="16"/>
        <v>125393.62999999999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1916.39</v>
      </c>
      <c r="G325" s="18">
        <v>283.13</v>
      </c>
      <c r="H325" s="18">
        <v>0</v>
      </c>
      <c r="I325" s="18">
        <v>0</v>
      </c>
      <c r="J325" s="18">
        <v>0</v>
      </c>
      <c r="K325" s="18"/>
      <c r="L325" s="19">
        <f t="shared" si="16"/>
        <v>2199.52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78776.739999999991</v>
      </c>
      <c r="G328" s="42">
        <f t="shared" si="17"/>
        <v>49420.52</v>
      </c>
      <c r="H328" s="42">
        <f t="shared" si="17"/>
        <v>178878.85</v>
      </c>
      <c r="I328" s="42">
        <f t="shared" si="17"/>
        <v>24944.21</v>
      </c>
      <c r="J328" s="42">
        <f t="shared" si="17"/>
        <v>62785.64</v>
      </c>
      <c r="K328" s="42">
        <f t="shared" si="17"/>
        <v>2540.0100000000002</v>
      </c>
      <c r="L328" s="41">
        <f t="shared" si="17"/>
        <v>397345.97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18000</v>
      </c>
      <c r="G333" s="18">
        <v>2976.83</v>
      </c>
      <c r="H333" s="18">
        <v>9900.36</v>
      </c>
      <c r="I333" s="18">
        <v>19608.810000000001</v>
      </c>
      <c r="J333" s="18">
        <v>3992.7</v>
      </c>
      <c r="K333" s="18">
        <v>0</v>
      </c>
      <c r="L333" s="19">
        <f t="shared" si="18"/>
        <v>54478.7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18000</v>
      </c>
      <c r="G337" s="41">
        <f t="shared" si="19"/>
        <v>2976.83</v>
      </c>
      <c r="H337" s="41">
        <f t="shared" si="19"/>
        <v>9900.36</v>
      </c>
      <c r="I337" s="41">
        <f t="shared" si="19"/>
        <v>19608.810000000001</v>
      </c>
      <c r="J337" s="41">
        <f t="shared" si="19"/>
        <v>3992.7</v>
      </c>
      <c r="K337" s="41">
        <f t="shared" si="19"/>
        <v>0</v>
      </c>
      <c r="L337" s="41">
        <f t="shared" si="18"/>
        <v>54478.7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693706.76</v>
      </c>
      <c r="G338" s="41">
        <f t="shared" si="20"/>
        <v>243619.50999999998</v>
      </c>
      <c r="H338" s="41">
        <f t="shared" si="20"/>
        <v>549219.17000000004</v>
      </c>
      <c r="I338" s="41">
        <f t="shared" si="20"/>
        <v>158874.87</v>
      </c>
      <c r="J338" s="41">
        <f t="shared" si="20"/>
        <v>123464.4</v>
      </c>
      <c r="K338" s="41">
        <f t="shared" si="20"/>
        <v>2540.0100000000002</v>
      </c>
      <c r="L338" s="41">
        <f t="shared" si="20"/>
        <v>1771424.72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693706.76</v>
      </c>
      <c r="G352" s="41">
        <f>G338</f>
        <v>243619.50999999998</v>
      </c>
      <c r="H352" s="41">
        <f>H338</f>
        <v>549219.17000000004</v>
      </c>
      <c r="I352" s="41">
        <f>I338</f>
        <v>158874.87</v>
      </c>
      <c r="J352" s="41">
        <f>J338</f>
        <v>123464.4</v>
      </c>
      <c r="K352" s="47">
        <f>K338+K351</f>
        <v>2540.0100000000002</v>
      </c>
      <c r="L352" s="41">
        <f>L338+L351</f>
        <v>1771424.72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123031.19</v>
      </c>
      <c r="G358" s="18">
        <v>86563.67</v>
      </c>
      <c r="H358" s="18">
        <v>9466.73</v>
      </c>
      <c r="I358" s="18">
        <v>128578.26</v>
      </c>
      <c r="J358" s="18">
        <v>592</v>
      </c>
      <c r="K358" s="18"/>
      <c r="L358" s="13">
        <f>SUM(F358:K358)</f>
        <v>348231.85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45554.79</v>
      </c>
      <c r="G359" s="18">
        <v>32051.96</v>
      </c>
      <c r="H359" s="18">
        <v>3505.25</v>
      </c>
      <c r="I359" s="18">
        <v>47608.71</v>
      </c>
      <c r="J359" s="18">
        <v>219</v>
      </c>
      <c r="K359" s="18"/>
      <c r="L359" s="19">
        <f>SUM(F359:K359)</f>
        <v>128939.70999999999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133701.95000000001</v>
      </c>
      <c r="G360" s="18">
        <v>94071.54</v>
      </c>
      <c r="H360" s="18">
        <v>10287.799999999999</v>
      </c>
      <c r="I360" s="18">
        <v>139730.13</v>
      </c>
      <c r="J360" s="18">
        <v>644</v>
      </c>
      <c r="K360" s="18"/>
      <c r="L360" s="19">
        <f>SUM(F360:K360)</f>
        <v>378435.42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302287.93000000005</v>
      </c>
      <c r="G362" s="47">
        <f t="shared" si="22"/>
        <v>212687.16999999998</v>
      </c>
      <c r="H362" s="47">
        <f t="shared" si="22"/>
        <v>23259.78</v>
      </c>
      <c r="I362" s="47">
        <f t="shared" si="22"/>
        <v>315917.09999999998</v>
      </c>
      <c r="J362" s="47">
        <f t="shared" si="22"/>
        <v>1455</v>
      </c>
      <c r="K362" s="47">
        <f t="shared" si="22"/>
        <v>0</v>
      </c>
      <c r="L362" s="47">
        <f t="shared" si="22"/>
        <v>855606.98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118398.87</v>
      </c>
      <c r="G367" s="18">
        <v>43839.59</v>
      </c>
      <c r="H367" s="18">
        <v>128667.86</v>
      </c>
      <c r="I367" s="56">
        <f>SUM(F367:H367)</f>
        <v>290906.32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10179.39</v>
      </c>
      <c r="G368" s="63">
        <v>3769.12</v>
      </c>
      <c r="H368" s="63">
        <v>11062.27</v>
      </c>
      <c r="I368" s="56">
        <f>SUM(F368:H368)</f>
        <v>25010.78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128578.26</v>
      </c>
      <c r="G369" s="47">
        <f>SUM(G367:G368)</f>
        <v>47608.71</v>
      </c>
      <c r="H369" s="47">
        <f>SUM(H367:H368)</f>
        <v>139730.13</v>
      </c>
      <c r="I369" s="47">
        <f>SUM(I367:I368)</f>
        <v>315917.09999999998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>
        <v>118.07</v>
      </c>
      <c r="I390" s="18"/>
      <c r="J390" s="24" t="s">
        <v>289</v>
      </c>
      <c r="K390" s="24" t="s">
        <v>289</v>
      </c>
      <c r="L390" s="56">
        <f t="shared" si="25"/>
        <v>118.07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76.89</v>
      </c>
      <c r="I392" s="18"/>
      <c r="J392" s="24" t="s">
        <v>289</v>
      </c>
      <c r="K392" s="24" t="s">
        <v>289</v>
      </c>
      <c r="L392" s="56">
        <f t="shared" si="25"/>
        <v>76.89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194.95999999999998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194.95999999999998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81429</v>
      </c>
      <c r="H396" s="18">
        <v>2155.25</v>
      </c>
      <c r="I396" s="18"/>
      <c r="J396" s="24" t="s">
        <v>289</v>
      </c>
      <c r="K396" s="24" t="s">
        <v>289</v>
      </c>
      <c r="L396" s="56">
        <f t="shared" si="26"/>
        <v>83584.25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1002.77</v>
      </c>
      <c r="I397" s="18"/>
      <c r="J397" s="24" t="s">
        <v>289</v>
      </c>
      <c r="K397" s="24" t="s">
        <v>289</v>
      </c>
      <c r="L397" s="56">
        <f t="shared" si="26"/>
        <v>1002.77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81429</v>
      </c>
      <c r="H401" s="47">
        <f>SUM(H395:H400)</f>
        <v>3158.02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84587.02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913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81.02</v>
      </c>
      <c r="I403" s="18"/>
      <c r="J403" s="24" t="s">
        <v>289</v>
      </c>
      <c r="K403" s="24" t="s">
        <v>289</v>
      </c>
      <c r="L403" s="56">
        <f>SUM(F403:K403)</f>
        <v>81.02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81.02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81.02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81429</v>
      </c>
      <c r="H408" s="47">
        <f>H393+H401+H407</f>
        <v>3434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84863.000000000015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>
        <v>0</v>
      </c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v>0</v>
      </c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0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0</v>
      </c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78183.88</v>
      </c>
      <c r="G439" s="18">
        <v>1307236.25</v>
      </c>
      <c r="H439" s="18">
        <v>32490.44</v>
      </c>
      <c r="I439" s="56">
        <f t="shared" ref="I439:I445" si="33">SUM(F439:H439)</f>
        <v>1417910.5699999998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78183.88</v>
      </c>
      <c r="G446" s="13">
        <f>SUM(G439:G445)</f>
        <v>1307236.25</v>
      </c>
      <c r="H446" s="13">
        <f>SUM(H439:H445)</f>
        <v>32490.44</v>
      </c>
      <c r="I446" s="13">
        <f>SUM(I439:I445)</f>
        <v>1417910.5699999998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78183.88</v>
      </c>
      <c r="G459" s="18">
        <v>1307236.25</v>
      </c>
      <c r="H459" s="18">
        <v>32490.44</v>
      </c>
      <c r="I459" s="56">
        <f t="shared" si="34"/>
        <v>1417910.5699999998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78183.88</v>
      </c>
      <c r="G460" s="83">
        <f>SUM(G454:G459)</f>
        <v>1307236.25</v>
      </c>
      <c r="H460" s="83">
        <f>SUM(H454:H459)</f>
        <v>32490.44</v>
      </c>
      <c r="I460" s="83">
        <f>SUM(I454:I459)</f>
        <v>1417910.5699999998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78183.88</v>
      </c>
      <c r="G461" s="42">
        <f>G452+G460</f>
        <v>1307236.25</v>
      </c>
      <c r="H461" s="42">
        <f>H452+H460</f>
        <v>32490.44</v>
      </c>
      <c r="I461" s="42">
        <f>I452+I460</f>
        <v>1417910.5699999998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2109460.87</v>
      </c>
      <c r="G465" s="18">
        <v>35472.839999999997</v>
      </c>
      <c r="H465" s="18">
        <v>126743.94</v>
      </c>
      <c r="I465" s="18"/>
      <c r="J465" s="18">
        <v>1333047.57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31148167.73</v>
      </c>
      <c r="G468" s="18">
        <v>840783.07</v>
      </c>
      <c r="H468" s="18">
        <v>1789572.01</v>
      </c>
      <c r="I468" s="18"/>
      <c r="J468" s="18">
        <v>84863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16431.849999999999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31148167.73</v>
      </c>
      <c r="G470" s="53">
        <f>SUM(G468:G469)</f>
        <v>857214.91999999993</v>
      </c>
      <c r="H470" s="53">
        <f>SUM(H468:H469)</f>
        <v>1789572.01</v>
      </c>
      <c r="I470" s="53">
        <f>SUM(I468:I469)</f>
        <v>0</v>
      </c>
      <c r="J470" s="53">
        <f>SUM(J468:J469)</f>
        <v>84863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31165198.98</v>
      </c>
      <c r="G472" s="18">
        <v>855606.98</v>
      </c>
      <c r="H472" s="18">
        <v>1771424.72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>
        <v>1291.68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31165198.98</v>
      </c>
      <c r="G474" s="53">
        <f>SUM(G472:G473)</f>
        <v>855606.98</v>
      </c>
      <c r="H474" s="53">
        <f>SUM(H472:H473)</f>
        <v>1772716.4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2092429.620000001</v>
      </c>
      <c r="G476" s="53">
        <f>(G465+G470)- G474</f>
        <v>37080.779999999912</v>
      </c>
      <c r="H476" s="53">
        <f>(H465+H470)- H474</f>
        <v>143599.55000000005</v>
      </c>
      <c r="I476" s="53">
        <f>(I465+I470)- I474</f>
        <v>0</v>
      </c>
      <c r="J476" s="53">
        <f>(J465+J470)- J474</f>
        <v>1417910.57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916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917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42120000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16610000</v>
      </c>
      <c r="G495" s="18"/>
      <c r="H495" s="18"/>
      <c r="I495" s="18"/>
      <c r="J495" s="18"/>
      <c r="K495" s="53">
        <f>SUM(F495:J495)</f>
        <v>16610000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1850000</v>
      </c>
      <c r="G497" s="18"/>
      <c r="H497" s="18"/>
      <c r="I497" s="18"/>
      <c r="J497" s="18"/>
      <c r="K497" s="53">
        <f t="shared" si="35"/>
        <v>1850000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14760000</v>
      </c>
      <c r="G498" s="204"/>
      <c r="H498" s="204"/>
      <c r="I498" s="204"/>
      <c r="J498" s="204"/>
      <c r="K498" s="205">
        <f t="shared" si="35"/>
        <v>14760000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2719101.76</v>
      </c>
      <c r="G499" s="18"/>
      <c r="H499" s="18"/>
      <c r="I499" s="18"/>
      <c r="J499" s="18"/>
      <c r="K499" s="53">
        <f t="shared" si="35"/>
        <v>2719101.76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17479101.759999998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17479101.759999998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1850000</v>
      </c>
      <c r="G501" s="204"/>
      <c r="H501" s="204"/>
      <c r="I501" s="204"/>
      <c r="J501" s="204"/>
      <c r="K501" s="205">
        <f t="shared" si="35"/>
        <v>1850000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680650</v>
      </c>
      <c r="G502" s="18"/>
      <c r="H502" s="18"/>
      <c r="I502" s="18"/>
      <c r="J502" s="18"/>
      <c r="K502" s="53">
        <f t="shared" si="35"/>
        <v>680650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2530650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2530650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1287630.98</v>
      </c>
      <c r="G521" s="18">
        <v>888793.44</v>
      </c>
      <c r="H521" s="18">
        <v>755344.87</v>
      </c>
      <c r="I521" s="18">
        <v>4722.58</v>
      </c>
      <c r="J521" s="18">
        <v>5063.32</v>
      </c>
      <c r="K521" s="18"/>
      <c r="L521" s="88">
        <f>SUM(F521:K521)</f>
        <v>2941555.19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382227.24</v>
      </c>
      <c r="G522" s="18">
        <v>274342.68</v>
      </c>
      <c r="H522" s="18">
        <v>818.91</v>
      </c>
      <c r="I522" s="18">
        <v>9071.4</v>
      </c>
      <c r="J522" s="18">
        <v>3259.62</v>
      </c>
      <c r="K522" s="18"/>
      <c r="L522" s="88">
        <f>SUM(F522:K522)</f>
        <v>669719.85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672714.74</v>
      </c>
      <c r="G523" s="18">
        <v>489808.43</v>
      </c>
      <c r="H523" s="18">
        <v>279447.95</v>
      </c>
      <c r="I523" s="18">
        <v>7428.04</v>
      </c>
      <c r="J523" s="18">
        <v>8370.48</v>
      </c>
      <c r="K523" s="18"/>
      <c r="L523" s="88">
        <f>SUM(F523:K523)</f>
        <v>1457769.64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2342572.96</v>
      </c>
      <c r="G524" s="108">
        <f t="shared" ref="G524:L524" si="36">SUM(G521:G523)</f>
        <v>1652944.5499999998</v>
      </c>
      <c r="H524" s="108">
        <f t="shared" si="36"/>
        <v>1035611.73</v>
      </c>
      <c r="I524" s="108">
        <f t="shared" si="36"/>
        <v>21222.02</v>
      </c>
      <c r="J524" s="108">
        <f t="shared" si="36"/>
        <v>16693.419999999998</v>
      </c>
      <c r="K524" s="108">
        <f t="shared" si="36"/>
        <v>0</v>
      </c>
      <c r="L524" s="89">
        <f t="shared" si="36"/>
        <v>5069044.68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238285.17</v>
      </c>
      <c r="G526" s="18">
        <v>148630.54999999999</v>
      </c>
      <c r="H526" s="18">
        <v>253399.58</v>
      </c>
      <c r="I526" s="18">
        <v>731.37</v>
      </c>
      <c r="J526" s="18"/>
      <c r="K526" s="18"/>
      <c r="L526" s="88">
        <f>SUM(F526:K526)</f>
        <v>641046.66999999993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46475.93</v>
      </c>
      <c r="G527" s="18">
        <v>22124.35</v>
      </c>
      <c r="H527" s="18">
        <v>9836.59</v>
      </c>
      <c r="I527" s="18">
        <v>0</v>
      </c>
      <c r="J527" s="18"/>
      <c r="K527" s="18"/>
      <c r="L527" s="88">
        <f>SUM(F527:K527)</f>
        <v>78436.87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176052.39</v>
      </c>
      <c r="G528" s="18">
        <v>99141.04</v>
      </c>
      <c r="H528" s="18">
        <v>1738.06</v>
      </c>
      <c r="I528" s="18">
        <v>800.49</v>
      </c>
      <c r="J528" s="18"/>
      <c r="K528" s="18"/>
      <c r="L528" s="88">
        <f>SUM(F528:K528)</f>
        <v>277731.98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460813.49000000005</v>
      </c>
      <c r="G529" s="89">
        <f t="shared" ref="G529:L529" si="37">SUM(G526:G528)</f>
        <v>269895.94</v>
      </c>
      <c r="H529" s="89">
        <f t="shared" si="37"/>
        <v>264974.23</v>
      </c>
      <c r="I529" s="89">
        <f t="shared" si="37"/>
        <v>1531.8600000000001</v>
      </c>
      <c r="J529" s="89">
        <f t="shared" si="37"/>
        <v>0</v>
      </c>
      <c r="K529" s="89">
        <f t="shared" si="37"/>
        <v>0</v>
      </c>
      <c r="L529" s="89">
        <f t="shared" si="37"/>
        <v>997215.5199999999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63545.599999999999</v>
      </c>
      <c r="I531" s="18"/>
      <c r="J531" s="18"/>
      <c r="K531" s="18"/>
      <c r="L531" s="88">
        <f>SUM(F531:K531)</f>
        <v>63545.599999999999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23529.05</v>
      </c>
      <c r="I532" s="18"/>
      <c r="J532" s="18"/>
      <c r="K532" s="18"/>
      <c r="L532" s="88">
        <f>SUM(F532:K532)</f>
        <v>23529.05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69057.05</v>
      </c>
      <c r="I533" s="18"/>
      <c r="J533" s="18"/>
      <c r="K533" s="18"/>
      <c r="L533" s="88">
        <f>SUM(F533:K533)</f>
        <v>69057.05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156131.70000000001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156131.70000000001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40694.35</v>
      </c>
      <c r="G541" s="18">
        <v>14732.68</v>
      </c>
      <c r="H541" s="18">
        <v>53408.61</v>
      </c>
      <c r="I541" s="18"/>
      <c r="J541" s="18"/>
      <c r="K541" s="18"/>
      <c r="L541" s="88">
        <f>SUM(F541:K541)</f>
        <v>108835.64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8138.87</v>
      </c>
      <c r="G542" s="18">
        <v>2946.54</v>
      </c>
      <c r="H542" s="18">
        <v>3196.8</v>
      </c>
      <c r="I542" s="18"/>
      <c r="J542" s="18"/>
      <c r="K542" s="18"/>
      <c r="L542" s="88">
        <f>SUM(F542:K542)</f>
        <v>14282.21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5425.91</v>
      </c>
      <c r="G543" s="18">
        <v>1964.36</v>
      </c>
      <c r="H543" s="18">
        <v>42013.599999999999</v>
      </c>
      <c r="I543" s="18"/>
      <c r="J543" s="18"/>
      <c r="K543" s="18"/>
      <c r="L543" s="88">
        <f>SUM(F543:K543)</f>
        <v>49403.869999999995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54259.130000000005</v>
      </c>
      <c r="G544" s="193">
        <f t="shared" ref="G544:L544" si="40">SUM(G541:G543)</f>
        <v>19643.580000000002</v>
      </c>
      <c r="H544" s="193">
        <f t="shared" si="40"/>
        <v>98619.010000000009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172521.72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2857645.58</v>
      </c>
      <c r="G545" s="89">
        <f t="shared" ref="G545:L545" si="41">G524+G529+G534+G539+G544</f>
        <v>1942484.0699999998</v>
      </c>
      <c r="H545" s="89">
        <f t="shared" si="41"/>
        <v>1555336.67</v>
      </c>
      <c r="I545" s="89">
        <f t="shared" si="41"/>
        <v>22753.88</v>
      </c>
      <c r="J545" s="89">
        <f t="shared" si="41"/>
        <v>16693.419999999998</v>
      </c>
      <c r="K545" s="89">
        <f t="shared" si="41"/>
        <v>0</v>
      </c>
      <c r="L545" s="89">
        <f t="shared" si="41"/>
        <v>6394913.6199999992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2941555.19</v>
      </c>
      <c r="G549" s="87">
        <f>L526</f>
        <v>641046.66999999993</v>
      </c>
      <c r="H549" s="87">
        <f>L531</f>
        <v>63545.599999999999</v>
      </c>
      <c r="I549" s="87">
        <f>L536</f>
        <v>0</v>
      </c>
      <c r="J549" s="87">
        <f>L541</f>
        <v>108835.64</v>
      </c>
      <c r="K549" s="87">
        <f>SUM(F549:J549)</f>
        <v>3754983.1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669719.85</v>
      </c>
      <c r="G550" s="87">
        <f>L527</f>
        <v>78436.87</v>
      </c>
      <c r="H550" s="87">
        <f>L532</f>
        <v>23529.05</v>
      </c>
      <c r="I550" s="87">
        <f>L537</f>
        <v>0</v>
      </c>
      <c r="J550" s="87">
        <f>L542</f>
        <v>14282.21</v>
      </c>
      <c r="K550" s="87">
        <f>SUM(F550:J550)</f>
        <v>785967.98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1457769.64</v>
      </c>
      <c r="G551" s="87">
        <f>L528</f>
        <v>277731.98</v>
      </c>
      <c r="H551" s="87">
        <f>L533</f>
        <v>69057.05</v>
      </c>
      <c r="I551" s="87">
        <f>L538</f>
        <v>0</v>
      </c>
      <c r="J551" s="87">
        <f>L543</f>
        <v>49403.869999999995</v>
      </c>
      <c r="K551" s="87">
        <f>SUM(F551:J551)</f>
        <v>1853962.54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5069044.68</v>
      </c>
      <c r="G552" s="89">
        <f t="shared" si="42"/>
        <v>997215.5199999999</v>
      </c>
      <c r="H552" s="89">
        <f t="shared" si="42"/>
        <v>156131.70000000001</v>
      </c>
      <c r="I552" s="89">
        <f t="shared" si="42"/>
        <v>0</v>
      </c>
      <c r="J552" s="89">
        <f t="shared" si="42"/>
        <v>172521.72</v>
      </c>
      <c r="K552" s="89">
        <f t="shared" si="42"/>
        <v>6394913.6200000001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1145.4000000000001</v>
      </c>
      <c r="G579" s="18">
        <v>0</v>
      </c>
      <c r="H579" s="18">
        <v>5292</v>
      </c>
      <c r="I579" s="87">
        <f t="shared" si="47"/>
        <v>6437.4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55863.76</v>
      </c>
      <c r="G580" s="18">
        <v>0</v>
      </c>
      <c r="H580" s="18">
        <v>0</v>
      </c>
      <c r="I580" s="87">
        <f t="shared" si="47"/>
        <v>55863.76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470983.48-129692.58</f>
        <v>341290.89999999997</v>
      </c>
      <c r="G582" s="18">
        <v>0</v>
      </c>
      <c r="H582" s="18">
        <v>156752.51</v>
      </c>
      <c r="I582" s="87">
        <f t="shared" si="47"/>
        <v>498043.41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129692.58</v>
      </c>
      <c r="G583" s="18">
        <v>0</v>
      </c>
      <c r="H583" s="18">
        <v>100734.18</v>
      </c>
      <c r="I583" s="87">
        <f t="shared" si="47"/>
        <v>230426.76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190560.12</v>
      </c>
      <c r="I591" s="18">
        <v>70101.009999999995</v>
      </c>
      <c r="J591" s="18">
        <v>212997.33</v>
      </c>
      <c r="K591" s="104">
        <f t="shared" ref="K591:K597" si="48">SUM(H591:J591)</f>
        <v>473658.45999999996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108835.64</v>
      </c>
      <c r="I592" s="18">
        <v>14282.21</v>
      </c>
      <c r="J592" s="18">
        <v>51303.87</v>
      </c>
      <c r="K592" s="104">
        <f t="shared" si="48"/>
        <v>174421.72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9513.16</v>
      </c>
      <c r="J594" s="18">
        <v>44398.94</v>
      </c>
      <c r="K594" s="104">
        <f t="shared" si="48"/>
        <v>53912.100000000006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23127.83</v>
      </c>
      <c r="I595" s="18">
        <v>3650.22</v>
      </c>
      <c r="J595" s="18">
        <v>4970.1400000000003</v>
      </c>
      <c r="K595" s="104">
        <f t="shared" si="48"/>
        <v>31748.190000000002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18710.46</v>
      </c>
      <c r="I597" s="18">
        <v>0</v>
      </c>
      <c r="J597" s="18">
        <v>0</v>
      </c>
      <c r="K597" s="104">
        <f t="shared" si="48"/>
        <v>18710.46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341234.05000000005</v>
      </c>
      <c r="I598" s="108">
        <f>SUM(I591:I597)</f>
        <v>97546.6</v>
      </c>
      <c r="J598" s="108">
        <f>SUM(J591:J597)</f>
        <v>313670.28000000003</v>
      </c>
      <c r="K598" s="108">
        <f>SUM(K591:K597)</f>
        <v>752450.92999999993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197100.65+48975.9</f>
        <v>246076.55</v>
      </c>
      <c r="I604" s="18">
        <f>131024.91+7710.16</f>
        <v>138735.07</v>
      </c>
      <c r="J604" s="18">
        <f>307796.96+3992.7</f>
        <v>311789.66000000003</v>
      </c>
      <c r="K604" s="104">
        <f>SUM(H604:J604)</f>
        <v>696601.28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246076.55</v>
      </c>
      <c r="I605" s="108">
        <f>SUM(I602:I604)</f>
        <v>138735.07</v>
      </c>
      <c r="J605" s="108">
        <f>SUM(J602:J604)</f>
        <v>311789.66000000003</v>
      </c>
      <c r="K605" s="108">
        <f>SUM(K602:K604)</f>
        <v>696601.28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2520</v>
      </c>
      <c r="G612" s="18">
        <v>600.35</v>
      </c>
      <c r="H612" s="18"/>
      <c r="I612" s="18"/>
      <c r="J612" s="18"/>
      <c r="K612" s="18"/>
      <c r="L612" s="88">
        <f>SUM(F612:K612)</f>
        <v>3120.35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5584</v>
      </c>
      <c r="G613" s="18">
        <v>1068.7</v>
      </c>
      <c r="H613" s="18"/>
      <c r="I613" s="18"/>
      <c r="J613" s="18"/>
      <c r="K613" s="18"/>
      <c r="L613" s="88">
        <f>SUM(F613:K613)</f>
        <v>6652.7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8104</v>
      </c>
      <c r="G614" s="108">
        <f t="shared" si="49"/>
        <v>1669.0500000000002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9773.0499999999993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2318469.79</v>
      </c>
      <c r="H617" s="109">
        <f>SUM(F52)</f>
        <v>2318469.79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552210.03999999992</v>
      </c>
      <c r="H618" s="109">
        <f>SUM(G52)</f>
        <v>552210.04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498365.16</v>
      </c>
      <c r="H619" s="109">
        <f>SUM(H52)</f>
        <v>498365.16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1417910.5699999998</v>
      </c>
      <c r="H621" s="109">
        <f>SUM(J52)</f>
        <v>1417910.5699999998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2092429.62</v>
      </c>
      <c r="H622" s="109">
        <f>F476</f>
        <v>2092429.620000001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37080.78</v>
      </c>
      <c r="H623" s="109">
        <f>G476</f>
        <v>37080.779999999912</v>
      </c>
      <c r="I623" s="121" t="s">
        <v>102</v>
      </c>
      <c r="J623" s="109">
        <f t="shared" si="50"/>
        <v>8.7311491370201111E-11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143599.54999999999</v>
      </c>
      <c r="H624" s="109">
        <f>H476</f>
        <v>143599.55000000005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1417910.5699999998</v>
      </c>
      <c r="H626" s="109">
        <f>J476</f>
        <v>1417910.57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31148167.73</v>
      </c>
      <c r="H627" s="104">
        <f>SUM(F468)</f>
        <v>31148167.73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840783.07</v>
      </c>
      <c r="H628" s="104">
        <f>SUM(G468)</f>
        <v>840783.07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1789572.0100000002</v>
      </c>
      <c r="H629" s="104">
        <f>SUM(H468)</f>
        <v>1789572.01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84863</v>
      </c>
      <c r="H631" s="104">
        <f>SUM(J468)</f>
        <v>84863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31165198.979999997</v>
      </c>
      <c r="H632" s="104">
        <f>SUM(F472)</f>
        <v>31165198.98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1771424.72</v>
      </c>
      <c r="H633" s="104">
        <f>SUM(H472)</f>
        <v>1771424.72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315917.09999999998</v>
      </c>
      <c r="H634" s="104">
        <f>I369</f>
        <v>315917.09999999998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855606.98</v>
      </c>
      <c r="H635" s="104">
        <f>SUM(G472)</f>
        <v>855606.98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84863.000000000015</v>
      </c>
      <c r="H637" s="164">
        <f>SUM(J468)</f>
        <v>84863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78183.88</v>
      </c>
      <c r="H639" s="104">
        <f>SUM(F461)</f>
        <v>78183.88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1307236.25</v>
      </c>
      <c r="H640" s="104">
        <f>SUM(G461)</f>
        <v>1307236.25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32490.44</v>
      </c>
      <c r="H641" s="104">
        <f>SUM(H461)</f>
        <v>32490.44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1417910.5699999998</v>
      </c>
      <c r="H642" s="104">
        <f>SUM(I461)</f>
        <v>1417910.5699999998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3434</v>
      </c>
      <c r="H644" s="104">
        <f>H408</f>
        <v>3434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81429</v>
      </c>
      <c r="H645" s="104">
        <f>G408</f>
        <v>81429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84863</v>
      </c>
      <c r="H646" s="104">
        <f>L408</f>
        <v>84863.000000000015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752450.92999999993</v>
      </c>
      <c r="H647" s="104">
        <f>L208+L226+L244</f>
        <v>752450.92999999993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696601.28</v>
      </c>
      <c r="H648" s="104">
        <f>(J257+J338)-(J255+J336)</f>
        <v>696601.28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341234.05</v>
      </c>
      <c r="H649" s="104">
        <f>H598</f>
        <v>341234.05000000005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97546.599999999991</v>
      </c>
      <c r="H650" s="104">
        <f>I598</f>
        <v>97546.6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313670.27999999997</v>
      </c>
      <c r="H651" s="104">
        <f>J598</f>
        <v>313670.28000000003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131753.85999999999</v>
      </c>
      <c r="H652" s="104">
        <f>K263+K345</f>
        <v>131753.85999999999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81429</v>
      </c>
      <c r="H655" s="104">
        <f>K266+K347</f>
        <v>81429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13261007.209999999</v>
      </c>
      <c r="G660" s="19">
        <f>(L229+L309+L359)</f>
        <v>4868006.92</v>
      </c>
      <c r="H660" s="19">
        <f>(L247+L328+L360)</f>
        <v>12540330.49</v>
      </c>
      <c r="I660" s="19">
        <f>SUM(F660:H660)</f>
        <v>30669344.619999997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117166.13119322086</v>
      </c>
      <c r="G661" s="19">
        <f>(L359/IF(SUM(L358:L360)=0,1,SUM(L358:L360))*(SUM(G97:G110)))</f>
        <v>43383.070726804144</v>
      </c>
      <c r="H661" s="19">
        <f>(L360/IF(SUM(L358:L360)=0,1,SUM(L358:L360))*(SUM(G97:G110)))</f>
        <v>127328.42807997498</v>
      </c>
      <c r="I661" s="19">
        <f>SUM(F661:H661)</f>
        <v>287877.63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320204.95</v>
      </c>
      <c r="G662" s="19">
        <f>(L226+L306)-(J226+J306)</f>
        <v>84542.599999999991</v>
      </c>
      <c r="H662" s="19">
        <f>(L244+L325)-(J244+J325)</f>
        <v>277701.8</v>
      </c>
      <c r="I662" s="19">
        <f>SUM(F662:H662)</f>
        <v>682449.35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774069.19</v>
      </c>
      <c r="G663" s="199">
        <f>SUM(G575:G587)+SUM(I602:I604)+L612</f>
        <v>141855.42000000001</v>
      </c>
      <c r="H663" s="199">
        <f>SUM(H575:H587)+SUM(J602:J604)+L613</f>
        <v>581221.05000000005</v>
      </c>
      <c r="I663" s="19">
        <f>SUM(F663:H663)</f>
        <v>1497145.6600000001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12049566.938806778</v>
      </c>
      <c r="G664" s="19">
        <f>G660-SUM(G661:G663)</f>
        <v>4598225.8292731959</v>
      </c>
      <c r="H664" s="19">
        <f>H660-SUM(H661:H663)</f>
        <v>11554079.211920025</v>
      </c>
      <c r="I664" s="19">
        <f>I660-SUM(I661:I663)</f>
        <v>28201871.979999997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745.94</v>
      </c>
      <c r="G665" s="248">
        <v>276.31</v>
      </c>
      <c r="H665" s="248">
        <v>794.02</v>
      </c>
      <c r="I665" s="19">
        <f>SUM(F665:H665)</f>
        <v>1816.27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16153.53</v>
      </c>
      <c r="G667" s="19">
        <f>ROUND(G664/G665,2)</f>
        <v>16641.55</v>
      </c>
      <c r="H667" s="19">
        <f>ROUND(H664/H665,2)</f>
        <v>14551.37</v>
      </c>
      <c r="I667" s="19">
        <f>ROUND(I664/I665,2)</f>
        <v>15527.36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16153.53</v>
      </c>
      <c r="G672" s="19">
        <f>ROUND((G664+G669)/(G665+G670),2)</f>
        <v>16641.55</v>
      </c>
      <c r="H672" s="19">
        <f>ROUND((H664+H669)/(H665+H670),2)</f>
        <v>14551.37</v>
      </c>
      <c r="I672" s="19">
        <f>ROUND((I664+I669)/(I665+I670),2)</f>
        <v>15527.36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CONWAY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6791329.9700000007</v>
      </c>
      <c r="C9" s="229">
        <f>'DOE25'!G197+'DOE25'!G215+'DOE25'!G233+'DOE25'!G276+'DOE25'!G295+'DOE25'!G314</f>
        <v>4858276.6500000004</v>
      </c>
    </row>
    <row r="10" spans="1:3" x14ac:dyDescent="0.2">
      <c r="A10" t="s">
        <v>779</v>
      </c>
      <c r="B10" s="240">
        <v>5811578.8200000003</v>
      </c>
      <c r="C10" s="240">
        <v>4496335.05</v>
      </c>
    </row>
    <row r="11" spans="1:3" x14ac:dyDescent="0.2">
      <c r="A11" t="s">
        <v>780</v>
      </c>
      <c r="B11" s="240">
        <v>315923.59999999998</v>
      </c>
      <c r="C11" s="240">
        <v>157408.16</v>
      </c>
    </row>
    <row r="12" spans="1:3" x14ac:dyDescent="0.2">
      <c r="A12" t="s">
        <v>781</v>
      </c>
      <c r="B12" s="240">
        <v>663827.55000000005</v>
      </c>
      <c r="C12" s="240">
        <v>204533.44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6791329.9699999997</v>
      </c>
      <c r="C13" s="231">
        <f>SUM(C10:C12)</f>
        <v>4858276.6500000004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2342572.96</v>
      </c>
      <c r="C18" s="229">
        <f>'DOE25'!G198+'DOE25'!G216+'DOE25'!G234+'DOE25'!G277+'DOE25'!G296+'DOE25'!G315</f>
        <v>1652944.55</v>
      </c>
    </row>
    <row r="19" spans="1:3" x14ac:dyDescent="0.2">
      <c r="A19" t="s">
        <v>779</v>
      </c>
      <c r="B19" s="240">
        <v>1111499.8899999999</v>
      </c>
      <c r="C19" s="240">
        <v>645474.68999999994</v>
      </c>
    </row>
    <row r="20" spans="1:3" x14ac:dyDescent="0.2">
      <c r="A20" t="s">
        <v>780</v>
      </c>
      <c r="B20" s="240">
        <v>1131220.32</v>
      </c>
      <c r="C20" s="240">
        <v>985816.12</v>
      </c>
    </row>
    <row r="21" spans="1:3" x14ac:dyDescent="0.2">
      <c r="A21" t="s">
        <v>781</v>
      </c>
      <c r="B21" s="240">
        <v>99852.75</v>
      </c>
      <c r="C21" s="240">
        <v>21653.74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2342572.96</v>
      </c>
      <c r="C22" s="231">
        <f>SUM(C19:C21)</f>
        <v>1652944.55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471153.96</v>
      </c>
      <c r="C27" s="234">
        <f>'DOE25'!G199+'DOE25'!G217+'DOE25'!G235+'DOE25'!G278+'DOE25'!G297+'DOE25'!G316</f>
        <v>248735.01</v>
      </c>
    </row>
    <row r="28" spans="1:3" x14ac:dyDescent="0.2">
      <c r="A28" t="s">
        <v>779</v>
      </c>
      <c r="B28" s="240">
        <v>428766.5</v>
      </c>
      <c r="C28" s="240">
        <v>230615.39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42387.46</v>
      </c>
      <c r="C30" s="240">
        <v>18119.62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471153.96</v>
      </c>
      <c r="C31" s="231">
        <f>SUM(C28:C30)</f>
        <v>248735.01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428928</v>
      </c>
      <c r="C36" s="235">
        <f>'DOE25'!G200+'DOE25'!G218+'DOE25'!G236+'DOE25'!G279+'DOE25'!G298+'DOE25'!G317</f>
        <v>75065.919999999998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428928</v>
      </c>
      <c r="C39" s="240">
        <v>75065.919999999998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428928</v>
      </c>
      <c r="C40" s="231">
        <f>SUM(C37:C39)</f>
        <v>75065.919999999998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O17" sqref="O1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                CONWAY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18150098.760000002</v>
      </c>
      <c r="D5" s="20">
        <f>SUM('DOE25'!L197:L200)+SUM('DOE25'!L215:L218)+SUM('DOE25'!L233:L236)-F5-G5</f>
        <v>17726346.490000002</v>
      </c>
      <c r="E5" s="243"/>
      <c r="F5" s="255">
        <f>SUM('DOE25'!J197:J200)+SUM('DOE25'!J215:J218)+SUM('DOE25'!J233:J236)</f>
        <v>412397.86</v>
      </c>
      <c r="G5" s="53">
        <f>SUM('DOE25'!K197:K200)+SUM('DOE25'!K215:K218)+SUM('DOE25'!K233:K236)</f>
        <v>11354.41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2155402.81</v>
      </c>
      <c r="D6" s="20">
        <f>'DOE25'!L202+'DOE25'!L220+'DOE25'!L238-F6-G6</f>
        <v>2150656.35</v>
      </c>
      <c r="E6" s="243"/>
      <c r="F6" s="255">
        <f>'DOE25'!J202+'DOE25'!J220+'DOE25'!J238</f>
        <v>4627.46</v>
      </c>
      <c r="G6" s="53">
        <f>'DOE25'!K202+'DOE25'!K220+'DOE25'!K238</f>
        <v>119</v>
      </c>
      <c r="H6" s="259"/>
    </row>
    <row r="7" spans="1:9" x14ac:dyDescent="0.2">
      <c r="A7" s="32">
        <v>2200</v>
      </c>
      <c r="B7" t="s">
        <v>834</v>
      </c>
      <c r="C7" s="245">
        <f t="shared" si="0"/>
        <v>543156.46</v>
      </c>
      <c r="D7" s="20">
        <f>'DOE25'!L203+'DOE25'!L221+'DOE25'!L239-F7-G7</f>
        <v>537233.01</v>
      </c>
      <c r="E7" s="243"/>
      <c r="F7" s="255">
        <f>'DOE25'!J203+'DOE25'!J221+'DOE25'!J239</f>
        <v>4066.45</v>
      </c>
      <c r="G7" s="53">
        <f>'DOE25'!K203+'DOE25'!K221+'DOE25'!K239</f>
        <v>1857</v>
      </c>
      <c r="H7" s="259"/>
    </row>
    <row r="8" spans="1:9" x14ac:dyDescent="0.2">
      <c r="A8" s="32">
        <v>2300</v>
      </c>
      <c r="B8" t="s">
        <v>802</v>
      </c>
      <c r="C8" s="245">
        <f t="shared" si="0"/>
        <v>701467</v>
      </c>
      <c r="D8" s="243"/>
      <c r="E8" s="20">
        <f>'DOE25'!L204+'DOE25'!L222+'DOE25'!L240-F8-G8-D9-D11</f>
        <v>695960.74</v>
      </c>
      <c r="F8" s="255">
        <f>'DOE25'!J204+'DOE25'!J222+'DOE25'!J240</f>
        <v>0</v>
      </c>
      <c r="G8" s="53">
        <f>'DOE25'!K204+'DOE25'!K222+'DOE25'!K240</f>
        <v>5506.26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135113.31</v>
      </c>
      <c r="D9" s="244">
        <v>135113.31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18920</v>
      </c>
      <c r="D10" s="243"/>
      <c r="E10" s="244">
        <v>18920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252485</v>
      </c>
      <c r="D11" s="244">
        <v>252485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1533530.82</v>
      </c>
      <c r="D12" s="20">
        <f>'DOE25'!L205+'DOE25'!L223+'DOE25'!L241-F12-G12</f>
        <v>1509335.2000000002</v>
      </c>
      <c r="E12" s="243"/>
      <c r="F12" s="255">
        <f>'DOE25'!J205+'DOE25'!J223+'DOE25'!J241</f>
        <v>2949.6400000000003</v>
      </c>
      <c r="G12" s="53">
        <f>'DOE25'!K205+'DOE25'!K223+'DOE25'!K241</f>
        <v>21245.98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3870849.02</v>
      </c>
      <c r="D14" s="20">
        <f>'DOE25'!L207+'DOE25'!L225+'DOE25'!L243-F14-G14</f>
        <v>3808047.55</v>
      </c>
      <c r="E14" s="243"/>
      <c r="F14" s="255">
        <f>'DOE25'!J207+'DOE25'!J225+'DOE25'!J243</f>
        <v>62801.47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752450.92999999993</v>
      </c>
      <c r="D15" s="20">
        <f>'DOE25'!L208+'DOE25'!L226+'DOE25'!L244-F15-G15</f>
        <v>666156.92999999993</v>
      </c>
      <c r="E15" s="243"/>
      <c r="F15" s="255">
        <f>'DOE25'!J208+'DOE25'!J226+'DOE25'!J244</f>
        <v>86294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2237.5099999999998</v>
      </c>
      <c r="D16" s="243"/>
      <c r="E16" s="20">
        <f>'DOE25'!L209+'DOE25'!L227+'DOE25'!L245-F16-G16</f>
        <v>2237.5099999999998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287500</v>
      </c>
      <c r="D22" s="243"/>
      <c r="E22" s="243"/>
      <c r="F22" s="255">
        <f>'DOE25'!L255+'DOE25'!L336</f>
        <v>287500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2567724.5</v>
      </c>
      <c r="D25" s="243"/>
      <c r="E25" s="243"/>
      <c r="F25" s="258"/>
      <c r="G25" s="256"/>
      <c r="H25" s="257">
        <f>'DOE25'!L260+'DOE25'!L261+'DOE25'!L341+'DOE25'!L342</f>
        <v>2567724.5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564700.65999999992</v>
      </c>
      <c r="D29" s="20">
        <f>'DOE25'!L358+'DOE25'!L359+'DOE25'!L360-'DOE25'!I367-F29-G29</f>
        <v>563245.65999999992</v>
      </c>
      <c r="E29" s="243"/>
      <c r="F29" s="255">
        <f>'DOE25'!J358+'DOE25'!J359+'DOE25'!J360</f>
        <v>1455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1771424.72</v>
      </c>
      <c r="D31" s="20">
        <f>'DOE25'!L290+'DOE25'!L309+'DOE25'!L328+'DOE25'!L333+'DOE25'!L334+'DOE25'!L335-F31-G31</f>
        <v>1645420.31</v>
      </c>
      <c r="E31" s="243"/>
      <c r="F31" s="255">
        <f>'DOE25'!J290+'DOE25'!J309+'DOE25'!J328+'DOE25'!J333+'DOE25'!J334+'DOE25'!J335</f>
        <v>123464.4</v>
      </c>
      <c r="G31" s="53">
        <f>'DOE25'!K290+'DOE25'!K309+'DOE25'!K328+'DOE25'!K333+'DOE25'!K334+'DOE25'!K335</f>
        <v>2540.0100000000002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28994039.810000002</v>
      </c>
      <c r="E33" s="246">
        <f>SUM(E5:E31)</f>
        <v>717118.25</v>
      </c>
      <c r="F33" s="246">
        <f>SUM(F5:F31)</f>
        <v>985556.28</v>
      </c>
      <c r="G33" s="246">
        <f>SUM(G5:G31)</f>
        <v>42622.659999999996</v>
      </c>
      <c r="H33" s="246">
        <f>SUM(H5:H31)</f>
        <v>2567724.5</v>
      </c>
    </row>
    <row r="35" spans="2:8" ht="12" thickBot="1" x14ac:dyDescent="0.25">
      <c r="B35" s="253" t="s">
        <v>847</v>
      </c>
      <c r="D35" s="254">
        <f>E33</f>
        <v>717118.25</v>
      </c>
      <c r="E35" s="249"/>
    </row>
    <row r="36" spans="2:8" ht="12" thickTop="1" x14ac:dyDescent="0.2">
      <c r="B36" t="s">
        <v>815</v>
      </c>
      <c r="D36" s="20">
        <f>D33</f>
        <v>28994039.810000002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CONWAY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1206978.25</v>
      </c>
      <c r="D8" s="95">
        <f>'DOE25'!G9</f>
        <v>290778.53999999998</v>
      </c>
      <c r="E8" s="95">
        <f>'DOE25'!H9</f>
        <v>0</v>
      </c>
      <c r="F8" s="95">
        <f>'DOE25'!I9</f>
        <v>0</v>
      </c>
      <c r="G8" s="95">
        <f>'DOE25'!J9</f>
        <v>1417910.5699999998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863326</v>
      </c>
      <c r="D11" s="95">
        <f>'DOE25'!G12</f>
        <v>131753.85999999999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206090.33</v>
      </c>
      <c r="D12" s="95">
        <f>'DOE25'!G13</f>
        <v>90169.37</v>
      </c>
      <c r="E12" s="95">
        <f>'DOE25'!H13</f>
        <v>495164.91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42075.21</v>
      </c>
      <c r="D13" s="95">
        <f>'DOE25'!G14</f>
        <v>2427.4899999999998</v>
      </c>
      <c r="E13" s="95">
        <f>'DOE25'!H14</f>
        <v>3200.25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37080.78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2318469.79</v>
      </c>
      <c r="D18" s="41">
        <f>SUM(D8:D17)</f>
        <v>552210.03999999992</v>
      </c>
      <c r="E18" s="41">
        <f>SUM(E8:E17)</f>
        <v>498365.16</v>
      </c>
      <c r="F18" s="41">
        <f>SUM(F8:F17)</f>
        <v>0</v>
      </c>
      <c r="G18" s="41">
        <f>SUM(G8:G17)</f>
        <v>1417910.5699999998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131753.85999999999</v>
      </c>
      <c r="D21" s="95">
        <f>'DOE25'!G22</f>
        <v>512639.82</v>
      </c>
      <c r="E21" s="95">
        <f>'DOE25'!H22</f>
        <v>350686.18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72302.47</v>
      </c>
      <c r="D23" s="95">
        <f>'DOE25'!G24</f>
        <v>2489.44</v>
      </c>
      <c r="E23" s="95">
        <f>'DOE25'!H24</f>
        <v>3844.39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21149.95</v>
      </c>
      <c r="D27" s="95">
        <f>'DOE25'!G28</f>
        <v>0</v>
      </c>
      <c r="E27" s="95">
        <f>'DOE25'!H28</f>
        <v>235.04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833.89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226040.17</v>
      </c>
      <c r="D31" s="41">
        <f>SUM(D21:D30)</f>
        <v>515129.26</v>
      </c>
      <c r="E31" s="41">
        <f>SUM(E21:E30)</f>
        <v>354765.61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37080.78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414947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143599.54999999999</v>
      </c>
      <c r="F47" s="95">
        <f>'DOE25'!I48</f>
        <v>0</v>
      </c>
      <c r="G47" s="95">
        <f>'DOE25'!J48</f>
        <v>1417910.5699999998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40000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1637482.62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2092429.62</v>
      </c>
      <c r="D50" s="41">
        <f>SUM(D34:D49)</f>
        <v>37080.78</v>
      </c>
      <c r="E50" s="41">
        <f>SUM(E34:E49)</f>
        <v>143599.54999999999</v>
      </c>
      <c r="F50" s="41">
        <f>SUM(F34:F49)</f>
        <v>0</v>
      </c>
      <c r="G50" s="41">
        <f>SUM(G34:G49)</f>
        <v>1417910.5699999998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2318469.79</v>
      </c>
      <c r="D51" s="41">
        <f>D50+D31</f>
        <v>552210.04</v>
      </c>
      <c r="E51" s="41">
        <f>E50+E31</f>
        <v>498365.16</v>
      </c>
      <c r="F51" s="41">
        <f>F50+F31</f>
        <v>0</v>
      </c>
      <c r="G51" s="41">
        <f>G50+G31</f>
        <v>1417910.5699999998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13099013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9424085.75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40825.54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1536.87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3434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287877.63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399953.17</v>
      </c>
      <c r="D61" s="95">
        <f>SUM('DOE25'!G98:G110)</f>
        <v>0</v>
      </c>
      <c r="E61" s="95">
        <f>SUM('DOE25'!H98:H110)</f>
        <v>240525.14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9866401.3299999982</v>
      </c>
      <c r="D62" s="130">
        <f>SUM(D57:D61)</f>
        <v>287877.63</v>
      </c>
      <c r="E62" s="130">
        <f>SUM(E57:E61)</f>
        <v>240525.14</v>
      </c>
      <c r="F62" s="130">
        <f>SUM(F57:F61)</f>
        <v>0</v>
      </c>
      <c r="G62" s="130">
        <f>SUM(G57:G61)</f>
        <v>3434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22965414.329999998</v>
      </c>
      <c r="D63" s="22">
        <f>D56+D62</f>
        <v>287877.63</v>
      </c>
      <c r="E63" s="22">
        <f>E56+E62</f>
        <v>240525.14</v>
      </c>
      <c r="F63" s="22">
        <f>F56+F62</f>
        <v>0</v>
      </c>
      <c r="G63" s="22">
        <f>G56+G62</f>
        <v>3434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3158849.59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3498863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6657712.5899999999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1060664.1000000001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179648.46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9409.9</v>
      </c>
      <c r="D77" s="95">
        <f>SUM('DOE25'!G131:G135)</f>
        <v>9831.81</v>
      </c>
      <c r="E77" s="95">
        <f>SUM('DOE25'!H131:H135)</f>
        <v>50478.7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1249722.46</v>
      </c>
      <c r="D78" s="130">
        <f>SUM(D72:D77)</f>
        <v>9831.81</v>
      </c>
      <c r="E78" s="130">
        <f>SUM(E72:E77)</f>
        <v>50478.7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7907435.0499999998</v>
      </c>
      <c r="D81" s="130">
        <f>SUM(D79:D80)+D78+D70</f>
        <v>9831.81</v>
      </c>
      <c r="E81" s="130">
        <f>SUM(E79:E80)+E78+E70</f>
        <v>50478.7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274445.59999999998</v>
      </c>
      <c r="D88" s="95">
        <f>SUM('DOE25'!G153:G161)</f>
        <v>411319.77</v>
      </c>
      <c r="E88" s="95">
        <f>SUM('DOE25'!H153:H161)</f>
        <v>1498568.1700000002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872.75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275318.34999999998</v>
      </c>
      <c r="D91" s="131">
        <f>SUM(D85:D90)</f>
        <v>411319.77</v>
      </c>
      <c r="E91" s="131">
        <f>SUM(E85:E90)</f>
        <v>1498568.1700000002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131753.85999999999</v>
      </c>
      <c r="E96" s="95">
        <f>'DOE25'!H179</f>
        <v>0</v>
      </c>
      <c r="F96" s="95">
        <f>'DOE25'!I179</f>
        <v>0</v>
      </c>
      <c r="G96" s="95">
        <f>'DOE25'!J179</f>
        <v>81429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131753.85999999999</v>
      </c>
      <c r="E103" s="86">
        <f>SUM(E93:E102)</f>
        <v>0</v>
      </c>
      <c r="F103" s="86">
        <f>SUM(F93:F102)</f>
        <v>0</v>
      </c>
      <c r="G103" s="86">
        <f>SUM(G93:G102)</f>
        <v>81429</v>
      </c>
    </row>
    <row r="104" spans="1:7" ht="12.75" thickTop="1" thickBot="1" x14ac:dyDescent="0.25">
      <c r="A104" s="33" t="s">
        <v>765</v>
      </c>
      <c r="C104" s="86">
        <f>C63+C81+C91+C103</f>
        <v>31148167.73</v>
      </c>
      <c r="D104" s="86">
        <f>D63+D81+D91+D103</f>
        <v>840783.07</v>
      </c>
      <c r="E104" s="86">
        <f>E63+E81+E91+E103</f>
        <v>1789572.0100000002</v>
      </c>
      <c r="F104" s="86">
        <f>F63+F81+F91+F103</f>
        <v>0</v>
      </c>
      <c r="G104" s="86">
        <f>G63+G81+G103</f>
        <v>84863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11892676.91</v>
      </c>
      <c r="D109" s="24" t="s">
        <v>289</v>
      </c>
      <c r="E109" s="95">
        <f>('DOE25'!L276)+('DOE25'!L295)+('DOE25'!L314)</f>
        <v>657318.35000000009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4967265.63</v>
      </c>
      <c r="D110" s="24" t="s">
        <v>289</v>
      </c>
      <c r="E110" s="95">
        <f>('DOE25'!L277)+('DOE25'!L296)+('DOE25'!L315)</f>
        <v>101779.05000000002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809724.87999999989</v>
      </c>
      <c r="D111" s="24" t="s">
        <v>289</v>
      </c>
      <c r="E111" s="95">
        <f>('DOE25'!L278)+('DOE25'!L297)+('DOE25'!L316)</f>
        <v>73786.880000000005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480431.33999999991</v>
      </c>
      <c r="D112" s="24" t="s">
        <v>289</v>
      </c>
      <c r="E112" s="95">
        <f>+('DOE25'!L279)+('DOE25'!L298)+('DOE25'!L317)</f>
        <v>221138.71000000002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54478.7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18150098.759999998</v>
      </c>
      <c r="D115" s="86">
        <f>SUM(D109:D114)</f>
        <v>0</v>
      </c>
      <c r="E115" s="86">
        <f>SUM(E109:E114)</f>
        <v>1108501.6900000002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2155402.81</v>
      </c>
      <c r="D118" s="24" t="s">
        <v>289</v>
      </c>
      <c r="E118" s="95">
        <f>+('DOE25'!L281)+('DOE25'!L300)+('DOE25'!L319)</f>
        <v>345876.14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543156.46</v>
      </c>
      <c r="D119" s="24" t="s">
        <v>289</v>
      </c>
      <c r="E119" s="95">
        <f>+('DOE25'!L282)+('DOE25'!L301)+('DOE25'!L320)</f>
        <v>300754.46999999997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1089065.31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1533530.82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3870849.02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752450.92999999993</v>
      </c>
      <c r="D124" s="24" t="s">
        <v>289</v>
      </c>
      <c r="E124" s="95">
        <f>+('DOE25'!L287)+('DOE25'!L306)+('DOE25'!L325)</f>
        <v>16292.42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2237.5099999999998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855606.98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9946692.8599999994</v>
      </c>
      <c r="D128" s="86">
        <f>SUM(D118:D127)</f>
        <v>855606.98</v>
      </c>
      <c r="E128" s="86">
        <f>SUM(E118:E127)</f>
        <v>662923.03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287500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1850000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717724.5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131753.85999999999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194.95999999999998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84587.02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81.02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-3434.0000000000146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3068407.36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31165198.979999997</v>
      </c>
      <c r="D145" s="86">
        <f>(D115+D128+D144)</f>
        <v>855606.98</v>
      </c>
      <c r="E145" s="86">
        <f>(E115+E128+E144)</f>
        <v>1771424.7200000002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42120000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16610000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16610000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1850000</v>
      </c>
    </row>
    <row r="159" spans="1:9" x14ac:dyDescent="0.2">
      <c r="A159" s="22" t="s">
        <v>35</v>
      </c>
      <c r="B159" s="137">
        <f>'DOE25'!F498</f>
        <v>14760000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14760000</v>
      </c>
    </row>
    <row r="160" spans="1:9" x14ac:dyDescent="0.2">
      <c r="A160" s="22" t="s">
        <v>36</v>
      </c>
      <c r="B160" s="137">
        <f>'DOE25'!F499</f>
        <v>2719101.76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2719101.76</v>
      </c>
    </row>
    <row r="161" spans="1:7" x14ac:dyDescent="0.2">
      <c r="A161" s="22" t="s">
        <v>37</v>
      </c>
      <c r="B161" s="137">
        <f>'DOE25'!F500</f>
        <v>17479101.759999998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17479101.759999998</v>
      </c>
    </row>
    <row r="162" spans="1:7" x14ac:dyDescent="0.2">
      <c r="A162" s="22" t="s">
        <v>38</v>
      </c>
      <c r="B162" s="137">
        <f>'DOE25'!F501</f>
        <v>1850000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1850000</v>
      </c>
    </row>
    <row r="163" spans="1:7" x14ac:dyDescent="0.2">
      <c r="A163" s="22" t="s">
        <v>39</v>
      </c>
      <c r="B163" s="137">
        <f>'DOE25'!F502</f>
        <v>680650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680650</v>
      </c>
    </row>
    <row r="164" spans="1:7" x14ac:dyDescent="0.2">
      <c r="A164" s="22" t="s">
        <v>246</v>
      </c>
      <c r="B164" s="137">
        <f>'DOE25'!F503</f>
        <v>2530650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2530650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                CONWAY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16154</v>
      </c>
    </row>
    <row r="5" spans="1:4" x14ac:dyDescent="0.2">
      <c r="B5" t="s">
        <v>704</v>
      </c>
      <c r="C5" s="179">
        <f>IF('DOE25'!G665+'DOE25'!G670=0,0,ROUND('DOE25'!G672,0))</f>
        <v>16642</v>
      </c>
    </row>
    <row r="6" spans="1:4" x14ac:dyDescent="0.2">
      <c r="B6" t="s">
        <v>62</v>
      </c>
      <c r="C6" s="179">
        <f>IF('DOE25'!H665+'DOE25'!H670=0,0,ROUND('DOE25'!H672,0))</f>
        <v>14551</v>
      </c>
    </row>
    <row r="7" spans="1:4" x14ac:dyDescent="0.2">
      <c r="B7" t="s">
        <v>705</v>
      </c>
      <c r="C7" s="179">
        <f>IF('DOE25'!I665+'DOE25'!I670=0,0,ROUND('DOE25'!I672,0))</f>
        <v>15527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12549995</v>
      </c>
      <c r="D10" s="182">
        <f>ROUND((C10/$C$28)*100,1)</f>
        <v>40.299999999999997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5069045</v>
      </c>
      <c r="D11" s="182">
        <f>ROUND((C11/$C$28)*100,1)</f>
        <v>16.3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883512</v>
      </c>
      <c r="D12" s="182">
        <f>ROUND((C12/$C$28)*100,1)</f>
        <v>2.8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701570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2501279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843911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1091303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1533531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3870849</v>
      </c>
      <c r="D20" s="182">
        <f t="shared" si="0"/>
        <v>12.4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768743</v>
      </c>
      <c r="D21" s="182">
        <f t="shared" si="0"/>
        <v>2.5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54479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717725</v>
      </c>
      <c r="D25" s="182">
        <f t="shared" si="0"/>
        <v>2.2999999999999998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567729.37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31153671.370000001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287500</v>
      </c>
    </row>
    <row r="30" spans="1:4" x14ac:dyDescent="0.2">
      <c r="B30" s="187" t="s">
        <v>729</v>
      </c>
      <c r="C30" s="180">
        <f>SUM(C28:C29)</f>
        <v>31441171.370000001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1850000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13099013</v>
      </c>
      <c r="D35" s="182">
        <f t="shared" ref="D35:D40" si="1">ROUND((C35/$C$41)*100,1)</f>
        <v>39.299999999999997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10110360.469999999</v>
      </c>
      <c r="D36" s="182">
        <f t="shared" si="1"/>
        <v>30.3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6657713</v>
      </c>
      <c r="D37" s="182">
        <f t="shared" si="1"/>
        <v>20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1310033</v>
      </c>
      <c r="D38" s="182">
        <f t="shared" si="1"/>
        <v>3.9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2185206</v>
      </c>
      <c r="D39" s="182">
        <f t="shared" si="1"/>
        <v>6.5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33362325.469999999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 xml:space="preserve">                CONWAY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2016-09-13T18:44:37Z</cp:lastPrinted>
  <dcterms:created xsi:type="dcterms:W3CDTF">1997-12-04T19:04:30Z</dcterms:created>
  <dcterms:modified xsi:type="dcterms:W3CDTF">2016-09-26T15:08:05Z</dcterms:modified>
</cp:coreProperties>
</file>