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3040" windowHeight="9105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F50" i="1"/>
  <c r="H523" i="1" l="1"/>
  <c r="H521" i="1"/>
  <c r="J179" i="1" l="1"/>
  <c r="K266" i="1"/>
  <c r="H604" i="1"/>
  <c r="I276" i="1"/>
  <c r="F578" i="1"/>
  <c r="H575" i="1"/>
  <c r="G575" i="1"/>
  <c r="F575" i="1"/>
  <c r="J468" i="1"/>
  <c r="J465" i="1"/>
  <c r="H400" i="1"/>
  <c r="J96" i="1"/>
  <c r="G440" i="1"/>
  <c r="F96" i="1"/>
  <c r="F468" i="1"/>
  <c r="H282" i="1"/>
  <c r="H197" i="1" l="1"/>
  <c r="H233" i="1"/>
  <c r="H240" i="1"/>
  <c r="H222" i="1"/>
  <c r="F197" i="1"/>
  <c r="G254" i="1"/>
  <c r="G207" i="1"/>
  <c r="G205" i="1"/>
  <c r="H202" i="1"/>
  <c r="G198" i="1"/>
  <c r="F198" i="1"/>
  <c r="I197" i="1"/>
  <c r="G197" i="1"/>
  <c r="H152" i="1"/>
  <c r="F110" i="1"/>
  <c r="F57" i="1"/>
  <c r="F13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H25" i="13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H169" i="1" s="1"/>
  <c r="H162" i="1"/>
  <c r="I147" i="1"/>
  <c r="I162" i="1"/>
  <c r="C12" i="10"/>
  <c r="L250" i="1"/>
  <c r="L332" i="1"/>
  <c r="L254" i="1"/>
  <c r="C25" i="10"/>
  <c r="L268" i="1"/>
  <c r="L269" i="1"/>
  <c r="L349" i="1"/>
  <c r="L350" i="1"/>
  <c r="E143" i="2" s="1"/>
  <c r="I665" i="1"/>
  <c r="I670" i="1"/>
  <c r="H661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2" i="2"/>
  <c r="C113" i="2"/>
  <c r="E113" i="2"/>
  <c r="E114" i="2"/>
  <c r="D115" i="2"/>
  <c r="F115" i="2"/>
  <c r="G115" i="2"/>
  <c r="E119" i="2"/>
  <c r="E121" i="2"/>
  <c r="E123" i="2"/>
  <c r="F128" i="2"/>
  <c r="G128" i="2"/>
  <c r="E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H461" i="1" s="1"/>
  <c r="H641" i="1" s="1"/>
  <c r="F460" i="1"/>
  <c r="G460" i="1"/>
  <c r="G461" i="1" s="1"/>
  <c r="H640" i="1" s="1"/>
  <c r="H460" i="1"/>
  <c r="F470" i="1"/>
  <c r="G470" i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1" i="1"/>
  <c r="G643" i="1"/>
  <c r="H643" i="1"/>
  <c r="G644" i="1"/>
  <c r="G649" i="1"/>
  <c r="J649" i="1" s="1"/>
  <c r="G652" i="1"/>
  <c r="H652" i="1"/>
  <c r="G653" i="1"/>
  <c r="H653" i="1"/>
  <c r="G654" i="1"/>
  <c r="H654" i="1"/>
  <c r="H655" i="1"/>
  <c r="G164" i="2"/>
  <c r="F78" i="2"/>
  <c r="F81" i="2" s="1"/>
  <c r="D50" i="2"/>
  <c r="F18" i="2"/>
  <c r="E103" i="2"/>
  <c r="E78" i="2"/>
  <c r="J257" i="1"/>
  <c r="J271" i="1" s="1"/>
  <c r="G476" i="1"/>
  <c r="H623" i="1" s="1"/>
  <c r="J623" i="1" s="1"/>
  <c r="I552" i="1"/>
  <c r="G22" i="2"/>
  <c r="H571" i="1"/>
  <c r="I571" i="1"/>
  <c r="G36" i="2"/>
  <c r="C25" i="13" l="1"/>
  <c r="H33" i="13"/>
  <c r="H545" i="1"/>
  <c r="D145" i="2"/>
  <c r="D18" i="2"/>
  <c r="E81" i="2"/>
  <c r="F22" i="13"/>
  <c r="C22" i="13" s="1"/>
  <c r="F169" i="1"/>
  <c r="J643" i="1"/>
  <c r="L570" i="1"/>
  <c r="K545" i="1"/>
  <c r="G545" i="1"/>
  <c r="H476" i="1"/>
  <c r="H624" i="1" s="1"/>
  <c r="L433" i="1"/>
  <c r="G338" i="1"/>
  <c r="G352" i="1" s="1"/>
  <c r="K257" i="1"/>
  <c r="G192" i="1"/>
  <c r="H192" i="1"/>
  <c r="F192" i="1"/>
  <c r="C78" i="2"/>
  <c r="L270" i="1"/>
  <c r="E62" i="2"/>
  <c r="E63" i="2" s="1"/>
  <c r="L362" i="1"/>
  <c r="C27" i="10" s="1"/>
  <c r="E122" i="2"/>
  <c r="E128" i="2" s="1"/>
  <c r="E118" i="2"/>
  <c r="F662" i="1"/>
  <c r="C15" i="10"/>
  <c r="C19" i="10"/>
  <c r="C18" i="2"/>
  <c r="J655" i="1"/>
  <c r="K571" i="1"/>
  <c r="L560" i="1"/>
  <c r="L571" i="1" s="1"/>
  <c r="I545" i="1"/>
  <c r="J476" i="1"/>
  <c r="H626" i="1" s="1"/>
  <c r="F476" i="1"/>
  <c r="H622" i="1" s="1"/>
  <c r="J622" i="1" s="1"/>
  <c r="L419" i="1"/>
  <c r="D127" i="2"/>
  <c r="D128" i="2" s="1"/>
  <c r="F130" i="2"/>
  <c r="F144" i="2" s="1"/>
  <c r="F145" i="2" s="1"/>
  <c r="E124" i="2"/>
  <c r="E120" i="2"/>
  <c r="E111" i="2"/>
  <c r="F661" i="1"/>
  <c r="I661" i="1" s="1"/>
  <c r="H662" i="1"/>
  <c r="D12" i="13"/>
  <c r="C12" i="13" s="1"/>
  <c r="J641" i="1"/>
  <c r="D31" i="2"/>
  <c r="D51" i="2" s="1"/>
  <c r="K598" i="1"/>
  <c r="G647" i="1" s="1"/>
  <c r="G625" i="1"/>
  <c r="J625" i="1" s="1"/>
  <c r="J545" i="1"/>
  <c r="G161" i="2"/>
  <c r="G157" i="2"/>
  <c r="K551" i="1"/>
  <c r="I169" i="1"/>
  <c r="D91" i="2"/>
  <c r="J140" i="1"/>
  <c r="H140" i="1"/>
  <c r="H112" i="1"/>
  <c r="H193" i="1" s="1"/>
  <c r="G629" i="1" s="1"/>
  <c r="J629" i="1" s="1"/>
  <c r="L393" i="1"/>
  <c r="C138" i="2" s="1"/>
  <c r="A31" i="12"/>
  <c r="A40" i="12"/>
  <c r="C32" i="10"/>
  <c r="L328" i="1"/>
  <c r="I369" i="1"/>
  <c r="H634" i="1" s="1"/>
  <c r="J634" i="1" s="1"/>
  <c r="C114" i="2"/>
  <c r="C118" i="2"/>
  <c r="C13" i="10"/>
  <c r="C125" i="2"/>
  <c r="C122" i="2"/>
  <c r="L529" i="1"/>
  <c r="G552" i="1"/>
  <c r="K549" i="1"/>
  <c r="K552" i="1" s="1"/>
  <c r="F552" i="1"/>
  <c r="A13" i="12"/>
  <c r="L290" i="1"/>
  <c r="J338" i="1"/>
  <c r="J352" i="1" s="1"/>
  <c r="K605" i="1"/>
  <c r="G648" i="1" s="1"/>
  <c r="L427" i="1"/>
  <c r="K271" i="1"/>
  <c r="L401" i="1"/>
  <c r="C139" i="2" s="1"/>
  <c r="G645" i="1"/>
  <c r="J645" i="1" s="1"/>
  <c r="G62" i="2"/>
  <c r="G63" i="2" s="1"/>
  <c r="J640" i="1"/>
  <c r="F461" i="1"/>
  <c r="H639" i="1" s="1"/>
  <c r="H408" i="1"/>
  <c r="H644" i="1" s="1"/>
  <c r="J644" i="1" s="1"/>
  <c r="C29" i="10"/>
  <c r="L351" i="1"/>
  <c r="C16" i="10"/>
  <c r="G651" i="1"/>
  <c r="J651" i="1" s="1"/>
  <c r="H647" i="1"/>
  <c r="J647" i="1" s="1"/>
  <c r="C21" i="10"/>
  <c r="G257" i="1"/>
  <c r="G271" i="1" s="1"/>
  <c r="C120" i="2"/>
  <c r="C17" i="10"/>
  <c r="L229" i="1"/>
  <c r="E8" i="13"/>
  <c r="C8" i="13" s="1"/>
  <c r="L247" i="1"/>
  <c r="H257" i="1"/>
  <c r="H271" i="1" s="1"/>
  <c r="C110" i="2"/>
  <c r="H338" i="1"/>
  <c r="H352" i="1" s="1"/>
  <c r="L309" i="1"/>
  <c r="E109" i="2"/>
  <c r="E115" i="2" s="1"/>
  <c r="C10" i="10"/>
  <c r="L256" i="1"/>
  <c r="F257" i="1"/>
  <c r="F271" i="1" s="1"/>
  <c r="C124" i="2"/>
  <c r="D14" i="13"/>
  <c r="C14" i="13" s="1"/>
  <c r="C121" i="2"/>
  <c r="C18" i="10"/>
  <c r="D7" i="13"/>
  <c r="C7" i="13" s="1"/>
  <c r="C11" i="10"/>
  <c r="I257" i="1"/>
  <c r="I271" i="1" s="1"/>
  <c r="C109" i="2"/>
  <c r="D5" i="13"/>
  <c r="C5" i="13" s="1"/>
  <c r="C91" i="2"/>
  <c r="C70" i="2"/>
  <c r="F112" i="1"/>
  <c r="C35" i="10"/>
  <c r="C36" i="10" s="1"/>
  <c r="H52" i="1"/>
  <c r="H619" i="1" s="1"/>
  <c r="J617" i="1"/>
  <c r="J639" i="1"/>
  <c r="C16" i="13"/>
  <c r="K550" i="1"/>
  <c r="D29" i="13"/>
  <c r="C29" i="13" s="1"/>
  <c r="C81" i="2"/>
  <c r="G624" i="1"/>
  <c r="J624" i="1" s="1"/>
  <c r="L534" i="1"/>
  <c r="K500" i="1"/>
  <c r="I460" i="1"/>
  <c r="I452" i="1"/>
  <c r="I446" i="1"/>
  <c r="G642" i="1" s="1"/>
  <c r="C123" i="2"/>
  <c r="C119" i="2"/>
  <c r="C112" i="2"/>
  <c r="F85" i="2"/>
  <c r="L211" i="1"/>
  <c r="C20" i="10"/>
  <c r="G81" i="2"/>
  <c r="C62" i="2"/>
  <c r="C63" i="2" s="1"/>
  <c r="D56" i="2"/>
  <c r="D63" i="2" s="1"/>
  <c r="G662" i="1"/>
  <c r="I662" i="1" s="1"/>
  <c r="G112" i="1"/>
  <c r="C26" i="10"/>
  <c r="K503" i="1"/>
  <c r="L382" i="1"/>
  <c r="G636" i="1" s="1"/>
  <c r="J636" i="1" s="1"/>
  <c r="K338" i="1"/>
  <c r="K352" i="1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E104" i="2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A22" i="12"/>
  <c r="G50" i="2"/>
  <c r="G51" i="2" s="1"/>
  <c r="J652" i="1"/>
  <c r="G571" i="1"/>
  <c r="I434" i="1"/>
  <c r="G434" i="1"/>
  <c r="I663" i="1"/>
  <c r="C39" i="10" l="1"/>
  <c r="H660" i="1"/>
  <c r="H664" i="1" s="1"/>
  <c r="G635" i="1"/>
  <c r="J635" i="1" s="1"/>
  <c r="H648" i="1"/>
  <c r="J648" i="1" s="1"/>
  <c r="F660" i="1"/>
  <c r="D31" i="13"/>
  <c r="C31" i="13" s="1"/>
  <c r="C141" i="2"/>
  <c r="C144" i="2" s="1"/>
  <c r="F104" i="2"/>
  <c r="I193" i="1"/>
  <c r="G630" i="1" s="1"/>
  <c r="J630" i="1" s="1"/>
  <c r="I461" i="1"/>
  <c r="H642" i="1" s="1"/>
  <c r="J642" i="1" s="1"/>
  <c r="E145" i="2"/>
  <c r="E33" i="13"/>
  <c r="D35" i="13" s="1"/>
  <c r="H672" i="1"/>
  <c r="C6" i="10" s="1"/>
  <c r="H667" i="1"/>
  <c r="G660" i="1"/>
  <c r="G664" i="1" s="1"/>
  <c r="L338" i="1"/>
  <c r="L352" i="1" s="1"/>
  <c r="G633" i="1" s="1"/>
  <c r="J633" i="1" s="1"/>
  <c r="C115" i="2"/>
  <c r="C128" i="2"/>
  <c r="C28" i="10"/>
  <c r="D23" i="10" s="1"/>
  <c r="L257" i="1"/>
  <c r="L271" i="1" s="1"/>
  <c r="G632" i="1" s="1"/>
  <c r="J632" i="1" s="1"/>
  <c r="C104" i="2"/>
  <c r="F193" i="1"/>
  <c r="G627" i="1" s="1"/>
  <c r="J627" i="1" s="1"/>
  <c r="F664" i="1"/>
  <c r="G104" i="2"/>
  <c r="D104" i="2"/>
  <c r="L408" i="1"/>
  <c r="L545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I660" i="1"/>
  <c r="I664" i="1" s="1"/>
  <c r="I672" i="1" s="1"/>
  <c r="C7" i="10" s="1"/>
  <c r="G667" i="1"/>
  <c r="G672" i="1"/>
  <c r="C5" i="10" s="1"/>
  <c r="D25" i="10"/>
  <c r="D20" i="10"/>
  <c r="D21" i="10"/>
  <c r="D13" i="10"/>
  <c r="D22" i="10"/>
  <c r="D11" i="10"/>
  <c r="D15" i="10"/>
  <c r="D19" i="10"/>
  <c r="D27" i="10"/>
  <c r="D18" i="10"/>
  <c r="D17" i="10"/>
  <c r="D12" i="10"/>
  <c r="D24" i="10"/>
  <c r="D10" i="10"/>
  <c r="D26" i="10"/>
  <c r="C30" i="10"/>
  <c r="D16" i="10"/>
  <c r="G637" i="1"/>
  <c r="J637" i="1" s="1"/>
  <c r="H646" i="1"/>
  <c r="J646" i="1" s="1"/>
  <c r="F672" i="1"/>
  <c r="C4" i="10" s="1"/>
  <c r="F667" i="1"/>
  <c r="I667" i="1"/>
  <c r="C41" i="10"/>
  <c r="D38" i="10" s="1"/>
  <c r="H65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<sst xmlns="http://schemas.openxmlformats.org/spreadsheetml/2006/main" count="3956" uniqueCount="913">
  <si>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</si>
  <si>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</si>
  <si>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</si>
  <si>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</si>
  <si>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</si>
  <si>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</si>
  <si>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</si>
  <si>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</si>
  <si>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</si>
  <si>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</si>
  <si>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</si>
  <si>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</si>
  <si>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</si>
  <si>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</si>
  <si>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</si>
  <si>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</si>
  <si>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</si>
  <si>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</si>
  <si>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</si>
  <si>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</si>
  <si>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</si>
  <si>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</si>
  <si>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</si>
  <si>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</si>
  <si>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</si>
  <si>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</si>
  <si>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</si>
  <si>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</si>
  <si>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</si>
  <si>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</si>
  <si>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</si>
  <si>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</si>
  <si>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</si>
  <si>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</si>
  <si>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</si>
  <si>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</si>
  <si>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</si>
  <si>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</si>
  <si>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</si>
  <si>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</si>
  <si>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</si>
  <si>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</si>
  <si>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</si>
  <si>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</si>
  <si>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</si>
  <si>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</si>
  <si>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</si>
  <si>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</si>
  <si>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</si>
  <si>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</si>
  <si>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</si>
  <si>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</si>
  <si>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</si>
  <si>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</si>
  <si>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</si>
  <si>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</si>
  <si>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</si>
  <si>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</si>
  <si>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</si>
  <si>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</si>
  <si>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</si>
  <si>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</si>
  <si>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</si>
  <si>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</si>
  <si>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</si>
  <si>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</si>
  <si>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</si>
  <si>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</si>
  <si>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</si>
  <si>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</si>
  <si>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</si>
  <si>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</si>
  <si>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</si>
  <si>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</si>
  <si>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</si>
  <si>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</si>
  <si>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</si>
  <si>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</si>
  <si>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</si>
  <si>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</si>
  <si>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</si>
  <si>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</si>
  <si>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</si>
  <si>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</si>
  <si>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</si>
  <si>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</si>
  <si>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</si>
  <si>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</si>
  <si>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</si>
  <si>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</si>
  <si>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</si>
  <si>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</si>
  <si>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</si>
  <si>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</si>
  <si>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</si>
  <si>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</si>
  <si>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</si>
  <si>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</si>
  <si>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</si>
  <si>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</si>
  <si>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</si>
  <si>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</si>
  <si>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</si>
  <si>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</si>
  <si>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</si>
  <si>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</si>
  <si>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</si>
  <si>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</si>
  <si>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</si>
  <si>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</si>
  <si>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</si>
  <si>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</si>
  <si>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</si>
  <si>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</si>
  <si>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</si>
  <si>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</si>
  <si>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</si>
  <si>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</si>
  <si>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</si>
  <si>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</si>
  <si>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</si>
  <si>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</si>
  <si>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</si>
  <si>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</si>
  <si>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</si>
  <si>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</si>
  <si>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</si>
  <si>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</si>
  <si>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</si>
  <si>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</si>
  <si>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</si>
  <si>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</si>
  <si>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</si>
  <si>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</si>
  <si>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</si>
  <si>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</si>
  <si>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</si>
  <si>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</si>
  <si>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</si>
  <si>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</si>
  <si>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</si>
  <si>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</si>
  <si>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</si>
  <si>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</si>
  <si>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</si>
  <si>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</si>
  <si>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</si>
  <si>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</si>
  <si>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</si>
  <si>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</si>
  <si>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</si>
  <si>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</si>
  <si>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</si>
  <si>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</si>
  <si>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</si>
  <si>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</si>
  <si>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</si>
  <si>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</si>
  <si>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</si>
  <si>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</si>
  <si>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</si>
  <si>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</si>
  <si>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</si>
  <si>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</si>
  <si>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</si>
  <si>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</si>
  <si>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</si>
  <si>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</si>
  <si>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</si>
  <si>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</si>
  <si>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</si>
  <si>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</si>
  <si>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</si>
  <si>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</si>
  <si>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</si>
  <si>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</si>
  <si>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</si>
  <si>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</si>
  <si>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</si>
  <si>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</si>
  <si>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</si>
  <si>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</si>
  <si>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</si>
  <si>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</si>
  <si>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</si>
  <si>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</si>
  <si>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</si>
  <si>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</si>
  <si>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</si>
  <si>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</si>
  <si>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</si>
  <si>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</si>
  <si>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</si>
  <si>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</si>
  <si>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</si>
  <si>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</si>
  <si>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</si>
  <si>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</si>
  <si>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</si>
  <si>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</si>
  <si>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</si>
  <si>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</si>
  <si>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</si>
  <si>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</si>
  <si>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</si>
  <si>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</si>
  <si>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</si>
  <si>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</si>
  <si>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</si>
  <si>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</si>
  <si>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</si>
  <si>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</si>
  <si>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</si>
  <si>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</si>
  <si>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</si>
  <si>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</si>
  <si>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</si>
  <si>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</si>
  <si>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</si>
  <si>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</si>
  <si>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</si>
  <si>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</si>
  <si>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</si>
  <si>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</si>
  <si>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</si>
  <si>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</si>
  <si>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</si>
  <si>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</si>
  <si>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</si>
  <si>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</si>
  <si>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</si>
  <si>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</si>
  <si>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</si>
  <si>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</si>
  <si>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</si>
  <si>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</si>
  <si>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</si>
  <si>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</si>
  <si>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</si>
  <si>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</si>
  <si>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</si>
  <si>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</si>
  <si>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</si>
  <si>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</si>
  <si>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</si>
  <si>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</si>
  <si>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</si>
  <si>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</si>
  <si>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</si>
  <si>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</si>
  <si>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</si>
  <si>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</si>
  <si>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</si>
  <si>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</si>
  <si>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</si>
  <si>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</si>
  <si>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</si>
  <si>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</si>
  <si>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</si>
  <si>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</si>
  <si>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</si>
  <si>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</si>
  <si>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</si>
  <si>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</si>
  <si>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</si>
  <si>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</si>
  <si>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</si>
  <si>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</si>
  <si>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</si>
  <si>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</si>
  <si>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</si>
  <si>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</si>
  <si>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</si>
  <si>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</si>
  <si>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</si>
  <si>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</si>
  <si>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</si>
  <si>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</si>
  <si>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</si>
  <si>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</si>
  <si>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</si>
  <si>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</si>
  <si>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</si>
  <si>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</si>
  <si>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</si>
  <si>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</si>
  <si>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</si>
  <si>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</si>
  <si>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</si>
  <si>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</si>
  <si>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</si>
  <si>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</si>
  <si>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</si>
  <si>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</si>
  <si>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</si>
  <si>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</si>
  <si>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</si>
  <si>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</si>
  <si>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</si>
  <si>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</si>
  <si>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</si>
  <si>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</si>
  <si>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</si>
  <si>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</si>
  <si>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</si>
  <si>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</si>
  <si>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</si>
  <si>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</si>
  <si>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</si>
  <si>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</si>
  <si>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</si>
  <si>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</si>
  <si>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</si>
  <si>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</si>
  <si>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</si>
  <si>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</si>
  <si>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</si>
  <si>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</si>
  <si>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</si>
  <si>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</si>
  <si>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</si>
  <si>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</si>
  <si>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</si>
  <si>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</si>
  <si>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</si>
  <si>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</si>
  <si>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</si>
  <si>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</si>
  <si>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</si>
  <si>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</si>
  <si>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</si>
  <si>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</si>
  <si>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</si>
  <si>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</si>
  <si>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</si>
  <si>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</si>
  <si>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</si>
  <si>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</si>
  <si>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</si>
  <si>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</si>
  <si>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</si>
  <si>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</si>
  <si>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</si>
  <si>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</si>
  <si>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</si>
  <si>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</si>
  <si>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</si>
  <si>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</si>
  <si>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</si>
  <si>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</si>
  <si>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</si>
  <si>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</si>
  <si>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</si>
  <si>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</si>
  <si>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</si>
  <si>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</si>
  <si>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</si>
  <si>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</si>
  <si>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</si>
  <si>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</si>
  <si>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</si>
  <si>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</si>
  <si>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</si>
  <si>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</si>
  <si>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</si>
  <si>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</si>
  <si>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</si>
  <si>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</si>
  <si>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</si>
  <si>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</si>
  <si>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</si>
  <si>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</si>
  <si>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</si>
  <si>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</si>
  <si>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</si>
  <si>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</si>
  <si>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</si>
  <si>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</si>
  <si>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</si>
  <si>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</si>
  <si>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</si>
  <si>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</si>
  <si>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</si>
  <si>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</si>
  <si>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</si>
  <si>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</si>
  <si>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</si>
  <si>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</si>
  <si>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</si>
  <si>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</si>
  <si>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</si>
  <si>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</si>
  <si>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</si>
  <si>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</si>
  <si>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</si>
  <si>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</si>
  <si>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</si>
  <si>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</si>
  <si>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</si>
  <si>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</si>
  <si>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</si>
  <si>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</si>
  <si>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</si>
  <si>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</si>
  <si>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</si>
  <si>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</si>
  <si>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</si>
  <si>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</si>
  <si>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</si>
  <si>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</si>
  <si>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</si>
  <si>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</si>
  <si>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</si>
  <si>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</si>
  <si>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</si>
  <si>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</si>
  <si>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</si>
  <si>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</si>
  <si>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</si>
  <si>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</si>
  <si>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</si>
  <si>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</si>
  <si>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</si>
  <si>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</si>
  <si>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</si>
  <si>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</si>
  <si>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</si>
  <si>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</si>
  <si>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</si>
  <si>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</si>
  <si>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</si>
  <si>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</si>
  <si>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</si>
  <si>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</si>
  <si>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</si>
  <si>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</si>
  <si>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</si>
  <si>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</si>
  <si>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</si>
  <si>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</si>
  <si>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</si>
  <si>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</si>
  <si>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</si>
  <si>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</si>
  <si>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</si>
  <si>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</si>
  <si>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</si>
  <si>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</si>
  <si>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</si>
  <si>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</si>
  <si>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</si>
  <si>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</si>
  <si>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</si>
  <si>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</si>
  <si>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</si>
  <si>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</si>
  <si>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</si>
  <si>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</si>
  <si>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</si>
  <si>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</si>
  <si>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</si>
  <si>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</si>
  <si>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</si>
  <si>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</si>
  <si>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</si>
  <si>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</si>
  <si>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</si>
  <si>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</si>
  <si>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</si>
  <si>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</si>
  <si>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</si>
  <si>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</si>
  <si>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</si>
  <si>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</si>
  <si>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</si>
  <si>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</si>
  <si>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</si>
  <si>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</si>
  <si>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</si>
  <si>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</si>
  <si>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</si>
  <si>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</si>
  <si>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</si>
  <si>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</si>
  <si>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</si>
  <si>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</si>
  <si>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</si>
  <si>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</si>
  <si>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</si>
  <si>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</si>
  <si>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</si>
  <si>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</si>
  <si>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</si>
  <si>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</si>
  <si>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</si>
  <si>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</si>
  <si>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</si>
  <si>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</si>
  <si>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</si>
  <si>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</si>
  <si>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</si>
  <si>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</si>
  <si>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</si>
  <si>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</si>
  <si>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</si>
  <si>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</si>
  <si>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</si>
  <si>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</si>
  <si>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</si>
  <si>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</si>
  <si>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</si>
  <si>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</si>
  <si>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</si>
  <si>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</si>
  <si>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</si>
  <si>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</si>
  <si>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</si>
  <si>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</si>
  <si>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</si>
  <si>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</si>
  <si>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</si>
  <si>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</si>
  <si>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</si>
  <si>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</si>
  <si>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</si>
  <si>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</si>
  <si>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</si>
  <si>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</si>
  <si>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</si>
  <si>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</si>
  <si>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</si>
  <si>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</si>
  <si>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</si>
  <si>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</si>
  <si>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</si>
  <si>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</si>
  <si>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</si>
  <si>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</si>
  <si>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</si>
  <si>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</si>
  <si>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</si>
  <si>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</si>
  <si>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</si>
  <si>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</si>
  <si>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</si>
  <si>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</si>
  <si>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</si>
  <si>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</si>
  <si>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</si>
  <si>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</si>
  <si>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</si>
  <si>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</si>
  <si>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</si>
  <si>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</si>
  <si>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</si>
  <si>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</si>
  <si>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</si>
  <si>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</si>
  <si>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</si>
  <si>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</si>
  <si>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</si>
  <si>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</si>
  <si>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</si>
  <si>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</si>
  <si>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</si>
  <si>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</si>
  <si>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</si>
  <si>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</si>
  <si>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</si>
  <si>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</si>
  <si>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</si>
  <si>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</si>
  <si>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</si>
  <si>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</si>
  <si>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</si>
  <si>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</si>
  <si>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</si>
  <si>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</si>
  <si>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</si>
  <si>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</si>
  <si>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</si>
  <si>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</si>
  <si>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</si>
  <si>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</si>
  <si>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</si>
  <si>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</si>
  <si>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</si>
  <si>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</si>
  <si>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</si>
  <si>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</si>
  <si>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</si>
  <si>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</si>
  <si>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</si>
  <si>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</si>
  <si>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</si>
  <si>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</si>
  <si>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</si>
  <si>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</si>
  <si>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</si>
  <si>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</si>
  <si>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</si>
  <si>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</si>
  <si>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</si>
  <si>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</si>
  <si>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</si>
  <si>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</si>
  <si>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</si>
  <si>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</si>
  <si>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</si>
  <si>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</si>
  <si>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</si>
  <si>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</si>
  <si>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</si>
  <si>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</si>
  <si>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</si>
  <si>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</si>
  <si>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</si>
  <si>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</si>
  <si>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</si>
  <si>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</si>
  <si>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</si>
  <si>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</si>
  <si>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</si>
  <si>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</si>
  <si>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</si>
  <si>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</si>
  <si>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</si>
  <si>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</si>
  <si>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</si>
  <si>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</si>
  <si>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</si>
  <si>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</si>
  <si>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</si>
  <si>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</si>
  <si>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</si>
  <si>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</si>
  <si>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</si>
  <si>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</si>
  <si>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</si>
  <si>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</si>
  <si>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</si>
  <si>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</si>
  <si>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</si>
  <si>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</si>
  <si>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</si>
  <si>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</si>
  <si>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</si>
  <si>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</si>
  <si>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</si>
  <si>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</si>
  <si>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</si>
  <si>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</si>
  <si>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</si>
  <si>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</si>
  <si>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</si>
  <si>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</si>
  <si>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</si>
  <si>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</si>
  <si>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</si>
  <si>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</si>
  <si>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</si>
  <si>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</si>
  <si>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</si>
  <si>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</si>
  <si>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</si>
  <si>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</si>
  <si>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</si>
  <si>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</si>
  <si>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</si>
  <si>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</si>
  <si>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</si>
  <si>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</si>
  <si>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</si>
  <si>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</si>
  <si>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</si>
  <si>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</si>
  <si>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</si>
  <si>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</si>
  <si>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</si>
  <si>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</si>
  <si>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</si>
  <si>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</si>
  <si>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</si>
  <si>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</si>
  <si>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</si>
  <si>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</si>
  <si>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</si>
  <si>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</si>
  <si>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</si>
  <si>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</si>
  <si>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</si>
  <si>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</si>
  <si>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</si>
  <si>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</si>
  <si>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</si>
  <si>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</si>
  <si>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</si>
  <si>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</si>
  <si>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</si>
  <si>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</si>
  <si>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</si>
  <si>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</si>
  <si>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</si>
  <si>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</si>
  <si>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</si>
  <si>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</si>
  <si>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</si>
  <si>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</si>
  <si>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</si>
  <si>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</si>
  <si>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</si>
  <si>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</si>
  <si>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</si>
  <si>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</si>
  <si>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</si>
  <si>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</si>
  <si>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</si>
  <si>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</si>
  <si>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</si>
  <si>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</si>
  <si>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</si>
  <si>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</si>
  <si>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</si>
  <si>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</si>
  <si>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</si>
  <si>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</si>
  <si>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</si>
  <si>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</si>
  <si>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</si>
  <si>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</si>
  <si>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</si>
  <si>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</si>
  <si>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</si>
  <si>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</si>
  <si>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</si>
  <si>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</si>
  <si>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</si>
  <si>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</si>
  <si>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</si>
  <si>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</si>
  <si>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</si>
  <si>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</si>
  <si>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</si>
  <si>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</si>
  <si>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</si>
  <si>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</si>
  <si>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</si>
  <si>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</si>
  <si>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</si>
  <si>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</si>
  <si>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</si>
  <si>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</si>
  <si>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</si>
  <si>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</si>
  <si>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</si>
  <si>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</si>
  <si>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</si>
  <si>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</si>
  <si>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</si>
  <si>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</si>
  <si>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</si>
  <si>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</si>
  <si>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</si>
  <si>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</si>
  <si>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</si>
  <si>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</si>
  <si>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</si>
  <si>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</si>
  <si>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</si>
  <si>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</si>
  <si>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</si>
  <si>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</si>
  <si>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</si>
  <si>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</si>
  <si>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</si>
  <si>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</si>
  <si>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</si>
  <si>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</si>
  <si>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</si>
  <si>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</si>
  <si>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</si>
  <si>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</si>
  <si>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</si>
  <si>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</si>
  <si>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</si>
  <si>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</si>
  <si>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</si>
  <si>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</si>
  <si>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</si>
  <si>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</si>
  <si>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</si>
  <si>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</si>
  <si>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</si>
  <si>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</si>
  <si>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</si>
  <si>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</si>
  <si>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</si>
  <si>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</si>
  <si>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</si>
  <si>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</si>
  <si>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</si>
  <si>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</si>
  <si>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</si>
  <si>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</si>
  <si>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</si>
  <si>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</si>
  <si>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</si>
  <si>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</si>
  <si>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</si>
  <si>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</si>
  <si>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</si>
  <si>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</si>
  <si>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</si>
  <si>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</si>
  <si>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</si>
  <si>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</si>
  <si>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</si>
  <si>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</si>
  <si>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</si>
  <si>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</si>
  <si>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</si>
  <si>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</si>
  <si>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</si>
  <si>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</si>
  <si>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</si>
  <si>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</si>
  <si>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</si>
  <si>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</si>
  <si>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</si>
  <si>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</si>
  <si>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</si>
  <si>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</si>
  <si>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</si>
  <si>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</si>
  <si>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</si>
  <si>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</si>
  <si>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</si>
  <si>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</si>
  <si>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</si>
  <si>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</si>
  <si>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</si>
  <si>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</si>
  <si>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</si>
  <si>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</si>
  <si>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</si>
  <si>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</si>
  <si>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</si>
  <si>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</si>
  <si>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</si>
  <si>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</si>
  <si>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</si>
  <si>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</si>
  <si>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</si>
  <si>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</si>
  <si>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</si>
  <si>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</si>
  <si>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</si>
  <si>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</si>
  <si>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</si>
  <si>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</si>
  <si>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</si>
  <si>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</si>
  <si>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</si>
  <si>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</si>
  <si>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</si>
  <si>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</si>
  <si>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</si>
  <si>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</si>
  <si>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</si>
  <si>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</si>
  <si>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</si>
  <si>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</si>
  <si>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</si>
  <si>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</si>
  <si>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</si>
  <si>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</si>
  <si>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</si>
  <si>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</si>
  <si>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</si>
  <si>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</si>
  <si>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</si>
  <si>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</si>
  <si>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</si>
  <si>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</si>
  <si>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</si>
  <si>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</si>
  <si>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</si>
  <si>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</si>
  <si>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</si>
  <si>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</si>
  <si>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</si>
  <si>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</si>
  <si>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</si>
  <si>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</si>
  <si>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</si>
  <si>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</si>
  <si>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</si>
  <si>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</si>
  <si>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</si>
  <si>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</si>
  <si>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</si>
  <si>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</si>
  <si>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</si>
  <si>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</si>
  <si>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</si>
  <si>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</si>
  <si>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</si>
  <si>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</si>
  <si>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</si>
  <si>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</si>
  <si>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</si>
  <si>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</si>
  <si>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Croydon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</si>
</sst>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zoomScale="110" zoomScaleNormal="110" workbookViewId="0">
      <pane xSplit="5" ySplit="3" topLeftCell="F514" activePane="bottomRight" state="frozen"/>
      <selection pane="topRight" activeCell="F1" sqref="F1"/>
      <selection pane="bottomLeft" activeCell="A4" sqref="A4"/>
      <selection pane="bottomRight" activeCell="I526" sqref="I52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117</v>
      </c>
      <c r="C2" s="21">
        <v>117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77377.94+(10)+(763.38)</f>
        <v>78151.320000000007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313587.64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-705264.27+(711706.81)</f>
        <v>6442.5400000000373</v>
      </c>
      <c r="G12" s="18"/>
      <c r="H12" s="18">
        <v>-6442.54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65.48+(84379.29)</f>
        <v>84444.76999999999</v>
      </c>
      <c r="G13" s="18"/>
      <c r="H13" s="18">
        <v>6861.67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169038.63000000003</v>
      </c>
      <c r="G19" s="41">
        <f>SUM(G9:G18)</f>
        <v>0</v>
      </c>
      <c r="H19" s="41">
        <f>SUM(H9:H18)</f>
        <v>419.13000000000011</v>
      </c>
      <c r="I19" s="41">
        <f>SUM(I9:I18)</f>
        <v>0</v>
      </c>
      <c r="J19" s="41">
        <f>SUM(J9:J18)</f>
        <v>313587.64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25854.93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2426.37</v>
      </c>
      <c r="G24" s="18"/>
      <c r="H24" s="18">
        <v>419.13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28281.3</v>
      </c>
      <c r="G32" s="41">
        <f>SUM(G22:G31)</f>
        <v>0</v>
      </c>
      <c r="H32" s="41">
        <f>SUM(H22:H31)</f>
        <v>419.13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313587.64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98937.99+796859.48-755040.14</f>
        <v>140757.32999999996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140757.32999999996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313587.64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169038.62999999995</v>
      </c>
      <c r="G52" s="41">
        <f>G51+G32</f>
        <v>0</v>
      </c>
      <c r="H52" s="41">
        <f>H51+H32</f>
        <v>419.13</v>
      </c>
      <c r="I52" s="41">
        <f>I51+I32</f>
        <v>0</v>
      </c>
      <c r="J52" s="41">
        <f>J51+J32</f>
        <v>313587.64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52109.25+(617175.75)</f>
        <v>669285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669285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15.32+1.43</f>
        <v>16.75</v>
      </c>
      <c r="G96" s="18"/>
      <c r="H96" s="18"/>
      <c r="I96" s="18"/>
      <c r="J96" s="18">
        <f>887.56</f>
        <v>887.56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20771.95</v>
      </c>
      <c r="G102" s="18"/>
      <c r="H102" s="18"/>
      <c r="I102" s="18"/>
      <c r="J102" s="18">
        <v>12554.93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2369.86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448.4</f>
        <v>448.4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23606.960000000003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13442.49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692891.96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13442.49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251594.25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217009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468603.25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32065.52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32065.52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500668.77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f>20955.83-10297.96</f>
        <v>10657.870000000003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10297.959999999999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1645.7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1645.7</v>
      </c>
      <c r="G162" s="41">
        <f>SUM(G150:G161)</f>
        <v>0</v>
      </c>
      <c r="H162" s="41">
        <f>SUM(H150:H161)</f>
        <v>20955.830000000002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1645.7</v>
      </c>
      <c r="G169" s="41">
        <f>G147+G162+SUM(G163:G168)</f>
        <v>0</v>
      </c>
      <c r="H169" s="41">
        <f>H147+H162+SUM(H163:H168)</f>
        <v>20955.830000000002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>
        <v>10000</v>
      </c>
      <c r="I179" s="18"/>
      <c r="J179" s="18">
        <f>50000+10260</f>
        <v>60260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10260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10260</v>
      </c>
      <c r="G183" s="41">
        <f>SUM(G179:G182)</f>
        <v>0</v>
      </c>
      <c r="H183" s="41">
        <f>SUM(H179:H182)</f>
        <v>10000</v>
      </c>
      <c r="I183" s="41">
        <f>SUM(I179:I182)</f>
        <v>0</v>
      </c>
      <c r="J183" s="41">
        <f>SUM(J179:J182)</f>
        <v>60260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10260</v>
      </c>
      <c r="G192" s="41">
        <f>G183+SUM(G188:G191)</f>
        <v>0</v>
      </c>
      <c r="H192" s="41">
        <f>+H183+SUM(H188:H191)</f>
        <v>10000</v>
      </c>
      <c r="I192" s="41">
        <f>I177+I183+SUM(I188:I191)</f>
        <v>0</v>
      </c>
      <c r="J192" s="41">
        <f>J183</f>
        <v>60260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1205466.43</v>
      </c>
      <c r="G193" s="47">
        <f>G112+G140+G169+G192</f>
        <v>0</v>
      </c>
      <c r="H193" s="47">
        <f>H112+H140+H169+H192</f>
        <v>30955.83</v>
      </c>
      <c r="I193" s="47">
        <f>I112+I140+I169+I192</f>
        <v>0</v>
      </c>
      <c r="J193" s="47">
        <f>J112+J140+J192</f>
        <v>73702.490000000005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103649.36+13387.97+458</f>
        <v>117495.33</v>
      </c>
      <c r="G197" s="18">
        <f>24920.3+449.8+123.1+0+8705.41+15054.04+771.13+1360.03</f>
        <v>51383.81</v>
      </c>
      <c r="H197" s="18">
        <f>280+98143.12+38098.65</f>
        <v>136521.76999999999</v>
      </c>
      <c r="I197" s="18">
        <f>2322.68+937.24</f>
        <v>3259.92</v>
      </c>
      <c r="J197" s="18">
        <v>849.8</v>
      </c>
      <c r="K197" s="18">
        <v>49.75</v>
      </c>
      <c r="L197" s="19">
        <f>SUM(F197:K197)</f>
        <v>309560.38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15512.17+10589.59</f>
        <v>26101.760000000002</v>
      </c>
      <c r="G198" s="18">
        <f>3020.66+112.6+21.71+1965.79+2362.24+379.81</f>
        <v>7862.81</v>
      </c>
      <c r="H198" s="18">
        <v>141157.10999999999</v>
      </c>
      <c r="I198" s="18">
        <v>402.84</v>
      </c>
      <c r="J198" s="18"/>
      <c r="K198" s="18" t="s">
        <v>287</v>
      </c>
      <c r="L198" s="19">
        <f>SUM(F198:K198)</f>
        <v>175524.52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f>59.29+165.37</f>
        <v>224.66</v>
      </c>
      <c r="I202" s="18"/>
      <c r="J202" s="18"/>
      <c r="K202" s="18"/>
      <c r="L202" s="19">
        <f t="shared" ref="L202:L208" si="0">SUM(F202:K202)</f>
        <v>224.66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>
        <v>171.7</v>
      </c>
      <c r="I203" s="18">
        <v>219.9</v>
      </c>
      <c r="J203" s="18"/>
      <c r="K203" s="18"/>
      <c r="L203" s="19">
        <f t="shared" si="0"/>
        <v>391.6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247.98</v>
      </c>
      <c r="G204" s="18">
        <v>21.83</v>
      </c>
      <c r="H204" s="18">
        <v>57248.959999999999</v>
      </c>
      <c r="I204" s="18">
        <v>27.27</v>
      </c>
      <c r="J204" s="18"/>
      <c r="K204" s="18"/>
      <c r="L204" s="19">
        <f t="shared" si="0"/>
        <v>57546.039999999994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9262.5</v>
      </c>
      <c r="G205" s="18">
        <f>7.85+670.94+1159.58+106.5</f>
        <v>1944.87</v>
      </c>
      <c r="H205" s="18">
        <v>1060</v>
      </c>
      <c r="I205" s="18"/>
      <c r="J205" s="18"/>
      <c r="K205" s="18"/>
      <c r="L205" s="19">
        <f t="shared" si="0"/>
        <v>12267.369999999999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4778.4799999999996</v>
      </c>
      <c r="G207" s="18">
        <f>365.51+285.9</f>
        <v>651.41</v>
      </c>
      <c r="H207" s="18">
        <v>23200.31</v>
      </c>
      <c r="I207" s="18">
        <v>6649.93</v>
      </c>
      <c r="J207" s="18"/>
      <c r="K207" s="18"/>
      <c r="L207" s="19">
        <f t="shared" si="0"/>
        <v>35280.130000000005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17099.98</v>
      </c>
      <c r="I208" s="18">
        <v>2964.22</v>
      </c>
      <c r="J208" s="18"/>
      <c r="K208" s="18"/>
      <c r="L208" s="19">
        <f t="shared" si="0"/>
        <v>20064.2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157886.05000000002</v>
      </c>
      <c r="G211" s="41">
        <f t="shared" si="1"/>
        <v>61864.73</v>
      </c>
      <c r="H211" s="41">
        <f t="shared" si="1"/>
        <v>376684.49</v>
      </c>
      <c r="I211" s="41">
        <f t="shared" si="1"/>
        <v>13524.08</v>
      </c>
      <c r="J211" s="41">
        <f t="shared" si="1"/>
        <v>849.8</v>
      </c>
      <c r="K211" s="41">
        <f t="shared" si="1"/>
        <v>49.75</v>
      </c>
      <c r="L211" s="41">
        <f t="shared" si="1"/>
        <v>610858.89999999991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101200</v>
      </c>
      <c r="I215" s="18"/>
      <c r="J215" s="18"/>
      <c r="K215" s="18"/>
      <c r="L215" s="19">
        <f>SUM(F215:K215)</f>
        <v>101200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32106.12</v>
      </c>
      <c r="I216" s="18"/>
      <c r="J216" s="18"/>
      <c r="K216" s="18"/>
      <c r="L216" s="19">
        <f>SUM(F216:K216)</f>
        <v>32106.12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66.47</v>
      </c>
      <c r="G222" s="18">
        <v>5.85</v>
      </c>
      <c r="H222" s="18">
        <f>1547.77+11116.95</f>
        <v>12664.720000000001</v>
      </c>
      <c r="I222" s="18">
        <v>7.31</v>
      </c>
      <c r="J222" s="18"/>
      <c r="K222" s="18"/>
      <c r="L222" s="19">
        <f t="shared" si="2"/>
        <v>12744.35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4583.51</v>
      </c>
      <c r="I226" s="18">
        <v>794.53</v>
      </c>
      <c r="J226" s="18"/>
      <c r="K226" s="18"/>
      <c r="L226" s="19">
        <f t="shared" si="2"/>
        <v>5378.04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66.47</v>
      </c>
      <c r="G229" s="41">
        <f>SUM(G215:G228)</f>
        <v>5.85</v>
      </c>
      <c r="H229" s="41">
        <f>SUM(H215:H228)</f>
        <v>150554.35</v>
      </c>
      <c r="I229" s="41">
        <f>SUM(I215:I228)</f>
        <v>801.83999999999992</v>
      </c>
      <c r="J229" s="41">
        <f>SUM(J215:J228)</f>
        <v>0</v>
      </c>
      <c r="K229" s="41">
        <f t="shared" si="3"/>
        <v>0</v>
      </c>
      <c r="L229" s="41">
        <f t="shared" si="3"/>
        <v>151428.51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237675</f>
        <v>237675</v>
      </c>
      <c r="I233" s="18"/>
      <c r="J233" s="18"/>
      <c r="K233" s="18"/>
      <c r="L233" s="19">
        <f>SUM(F233:K233)</f>
        <v>237675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53068.22</v>
      </c>
      <c r="I234" s="18"/>
      <c r="J234" s="18"/>
      <c r="K234" s="18"/>
      <c r="L234" s="19">
        <f>SUM(F234:K234)</f>
        <v>53068.22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135.55000000000001</v>
      </c>
      <c r="G240" s="18">
        <v>11.93</v>
      </c>
      <c r="H240" s="18">
        <f>3156.31+22670.42</f>
        <v>25826.73</v>
      </c>
      <c r="I240" s="18">
        <v>14.9</v>
      </c>
      <c r="J240" s="18"/>
      <c r="K240" s="18"/>
      <c r="L240" s="19">
        <f t="shared" si="4"/>
        <v>25989.11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9347.02</v>
      </c>
      <c r="I244" s="18">
        <v>1620.27</v>
      </c>
      <c r="J244" s="18"/>
      <c r="K244" s="18"/>
      <c r="L244" s="19">
        <f t="shared" si="4"/>
        <v>10967.29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135.55000000000001</v>
      </c>
      <c r="G247" s="41">
        <f t="shared" si="5"/>
        <v>11.93</v>
      </c>
      <c r="H247" s="41">
        <f t="shared" si="5"/>
        <v>325916.96999999997</v>
      </c>
      <c r="I247" s="41">
        <f t="shared" si="5"/>
        <v>1635.17</v>
      </c>
      <c r="J247" s="41">
        <f t="shared" si="5"/>
        <v>0</v>
      </c>
      <c r="K247" s="41">
        <f t="shared" si="5"/>
        <v>0</v>
      </c>
      <c r="L247" s="41">
        <f t="shared" si="5"/>
        <v>327699.61999999994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3125.04</v>
      </c>
      <c r="G254" s="18">
        <f>239.05+35.97</f>
        <v>275.02</v>
      </c>
      <c r="H254" s="18"/>
      <c r="I254" s="18"/>
      <c r="J254" s="18"/>
      <c r="K254" s="18"/>
      <c r="L254" s="19">
        <f t="shared" si="6"/>
        <v>3400.06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3125.04</v>
      </c>
      <c r="G256" s="41">
        <f t="shared" si="7"/>
        <v>275.02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3400.06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161213.11000000002</v>
      </c>
      <c r="G257" s="41">
        <f t="shared" si="8"/>
        <v>62157.53</v>
      </c>
      <c r="H257" s="41">
        <f t="shared" si="8"/>
        <v>853155.80999999994</v>
      </c>
      <c r="I257" s="41">
        <f t="shared" si="8"/>
        <v>15961.09</v>
      </c>
      <c r="J257" s="41">
        <f t="shared" si="8"/>
        <v>849.8</v>
      </c>
      <c r="K257" s="41">
        <f t="shared" si="8"/>
        <v>49.75</v>
      </c>
      <c r="L257" s="41">
        <f t="shared" si="8"/>
        <v>1093387.0899999999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10000</v>
      </c>
      <c r="L264" s="19">
        <f t="shared" ref="L264:L270" si="9">SUM(F264:K264)</f>
        <v>10000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50000+10260</f>
        <v>60260</v>
      </c>
      <c r="L266" s="19">
        <f t="shared" si="9"/>
        <v>60260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70260</v>
      </c>
      <c r="L270" s="41">
        <f t="shared" si="9"/>
        <v>70260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161213.11000000002</v>
      </c>
      <c r="G271" s="42">
        <f t="shared" si="11"/>
        <v>62157.53</v>
      </c>
      <c r="H271" s="42">
        <f t="shared" si="11"/>
        <v>853155.80999999994</v>
      </c>
      <c r="I271" s="42">
        <f t="shared" si="11"/>
        <v>15961.09</v>
      </c>
      <c r="J271" s="42">
        <f t="shared" si="11"/>
        <v>849.8</v>
      </c>
      <c r="K271" s="42">
        <f t="shared" si="11"/>
        <v>70309.75</v>
      </c>
      <c r="L271" s="42">
        <f t="shared" si="11"/>
        <v>1163647.0899999999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6519.61</v>
      </c>
      <c r="G276" s="18">
        <v>1559.83</v>
      </c>
      <c r="H276" s="18"/>
      <c r="I276" s="18">
        <f>846.92+488.25</f>
        <v>1335.17</v>
      </c>
      <c r="J276" s="18">
        <v>883.35</v>
      </c>
      <c r="K276" s="18"/>
      <c r="L276" s="19">
        <f>SUM(F276:K276)</f>
        <v>10297.960000000001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6900</v>
      </c>
      <c r="G277" s="18">
        <v>527.87</v>
      </c>
      <c r="H277" s="18"/>
      <c r="I277" s="18"/>
      <c r="J277" s="18"/>
      <c r="K277" s="18"/>
      <c r="L277" s="19">
        <f>SUM(F277:K277)</f>
        <v>7427.87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110</v>
      </c>
      <c r="H282" s="18">
        <f>320+2800</f>
        <v>3120</v>
      </c>
      <c r="I282" s="18"/>
      <c r="J282" s="18"/>
      <c r="K282" s="18"/>
      <c r="L282" s="19">
        <f t="shared" si="12"/>
        <v>3230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10000</v>
      </c>
      <c r="I283" s="18"/>
      <c r="J283" s="18"/>
      <c r="K283" s="18"/>
      <c r="L283" s="19">
        <f t="shared" si="12"/>
        <v>10000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13419.61</v>
      </c>
      <c r="G290" s="42">
        <f t="shared" si="13"/>
        <v>2197.6999999999998</v>
      </c>
      <c r="H290" s="42">
        <f t="shared" si="13"/>
        <v>13120</v>
      </c>
      <c r="I290" s="42">
        <f t="shared" si="13"/>
        <v>1335.17</v>
      </c>
      <c r="J290" s="42">
        <f t="shared" si="13"/>
        <v>883.35</v>
      </c>
      <c r="K290" s="42">
        <f t="shared" si="13"/>
        <v>0</v>
      </c>
      <c r="L290" s="41">
        <f t="shared" si="13"/>
        <v>30955.83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13419.61</v>
      </c>
      <c r="G338" s="41">
        <f t="shared" si="20"/>
        <v>2197.6999999999998</v>
      </c>
      <c r="H338" s="41">
        <f t="shared" si="20"/>
        <v>13120</v>
      </c>
      <c r="I338" s="41">
        <f t="shared" si="20"/>
        <v>1335.17</v>
      </c>
      <c r="J338" s="41">
        <f t="shared" si="20"/>
        <v>883.35</v>
      </c>
      <c r="K338" s="41">
        <f t="shared" si="20"/>
        <v>0</v>
      </c>
      <c r="L338" s="41">
        <f t="shared" si="20"/>
        <v>30955.83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13419.61</v>
      </c>
      <c r="G352" s="41">
        <f>G338</f>
        <v>2197.6999999999998</v>
      </c>
      <c r="H352" s="41">
        <f>H338</f>
        <v>13120</v>
      </c>
      <c r="I352" s="41">
        <f>I338</f>
        <v>1335.17</v>
      </c>
      <c r="J352" s="41">
        <f>J338</f>
        <v>883.35</v>
      </c>
      <c r="K352" s="47">
        <f>K338+K351</f>
        <v>0</v>
      </c>
      <c r="L352" s="41">
        <f>L338+L351</f>
        <v>30955.83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10260</v>
      </c>
      <c r="H396" s="18"/>
      <c r="I396" s="18"/>
      <c r="J396" s="24" t="s">
        <v>289</v>
      </c>
      <c r="K396" s="24" t="s">
        <v>289</v>
      </c>
      <c r="L396" s="56">
        <f t="shared" si="26"/>
        <v>10260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396.68</v>
      </c>
      <c r="I397" s="18"/>
      <c r="J397" s="24" t="s">
        <v>289</v>
      </c>
      <c r="K397" s="24" t="s">
        <v>289</v>
      </c>
      <c r="L397" s="56">
        <f t="shared" si="26"/>
        <v>50396.68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102.98</v>
      </c>
      <c r="I398" s="18"/>
      <c r="J398" s="24" t="s">
        <v>289</v>
      </c>
      <c r="K398" s="24" t="s">
        <v>289</v>
      </c>
      <c r="L398" s="56">
        <f t="shared" si="26"/>
        <v>102.98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330.76+21.99+35.15</f>
        <v>387.9</v>
      </c>
      <c r="I400" s="18">
        <v>12554.93</v>
      </c>
      <c r="J400" s="24" t="s">
        <v>289</v>
      </c>
      <c r="K400" s="24" t="s">
        <v>289</v>
      </c>
      <c r="L400" s="56">
        <f t="shared" si="26"/>
        <v>12942.83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60260</v>
      </c>
      <c r="H401" s="47">
        <f>SUM(H395:H400)</f>
        <v>887.56</v>
      </c>
      <c r="I401" s="47">
        <f>SUM(I395:I400)</f>
        <v>12554.93</v>
      </c>
      <c r="J401" s="45" t="s">
        <v>289</v>
      </c>
      <c r="K401" s="45" t="s">
        <v>289</v>
      </c>
      <c r="L401" s="47">
        <f>SUM(L395:L400)</f>
        <v>73702.490000000005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60260</v>
      </c>
      <c r="H408" s="47">
        <f>H393+H401+H407</f>
        <v>887.56</v>
      </c>
      <c r="I408" s="47">
        <f>I393+I401+I407</f>
        <v>12554.93</v>
      </c>
      <c r="J408" s="24" t="s">
        <v>289</v>
      </c>
      <c r="K408" s="24" t="s">
        <v>289</v>
      </c>
      <c r="L408" s="47">
        <f>L393+L401+L407</f>
        <v>73702.490000000005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10260</v>
      </c>
      <c r="L422" s="56">
        <f t="shared" si="29"/>
        <v>10260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10260</v>
      </c>
      <c r="L427" s="47">
        <f t="shared" si="30"/>
        <v>10260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10260</v>
      </c>
      <c r="L434" s="47">
        <f t="shared" si="32"/>
        <v>10260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20448.84</v>
      </c>
      <c r="G440" s="18">
        <f>151449.58+94800.87+34311.43+12576.92</f>
        <v>293138.8</v>
      </c>
      <c r="H440" s="18"/>
      <c r="I440" s="56">
        <f t="shared" si="33"/>
        <v>313587.64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20448.84</v>
      </c>
      <c r="G446" s="13">
        <f>SUM(G439:G445)</f>
        <v>293138.8</v>
      </c>
      <c r="H446" s="13">
        <f>SUM(H439:H445)</f>
        <v>0</v>
      </c>
      <c r="I446" s="13">
        <f>SUM(I439:I445)</f>
        <v>313587.64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20448.84</v>
      </c>
      <c r="G459" s="18">
        <v>293138.8</v>
      </c>
      <c r="H459" s="18"/>
      <c r="I459" s="56">
        <f t="shared" si="34"/>
        <v>313587.64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20448.84</v>
      </c>
      <c r="G460" s="83">
        <f>SUM(G454:G459)</f>
        <v>293138.8</v>
      </c>
      <c r="H460" s="83">
        <f>SUM(H454:H459)</f>
        <v>0</v>
      </c>
      <c r="I460" s="83">
        <f>SUM(I454:I459)</f>
        <v>313587.64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20448.84</v>
      </c>
      <c r="G461" s="42">
        <f>G452+G460</f>
        <v>293138.8</v>
      </c>
      <c r="H461" s="42">
        <f>H452+H460</f>
        <v>0</v>
      </c>
      <c r="I461" s="42">
        <f>I452+I460</f>
        <v>313587.64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98937.99</v>
      </c>
      <c r="G465" s="18"/>
      <c r="H465" s="18"/>
      <c r="I465" s="18"/>
      <c r="J465" s="18">
        <f>101052.9+94470.11+20413.69+34208.45</f>
        <v>250145.15000000002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1205466.43</f>
        <v>1205466.43</v>
      </c>
      <c r="G468" s="18"/>
      <c r="H468" s="18">
        <v>30955.83</v>
      </c>
      <c r="I468" s="18"/>
      <c r="J468" s="18">
        <f>72814.93+887.56</f>
        <v>73702.489999999991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1205466.43</v>
      </c>
      <c r="G470" s="53">
        <f>SUM(G468:G469)</f>
        <v>0</v>
      </c>
      <c r="H470" s="53">
        <f>SUM(H468:H469)</f>
        <v>30955.83</v>
      </c>
      <c r="I470" s="53">
        <f>SUM(I468:I469)</f>
        <v>0</v>
      </c>
      <c r="J470" s="53">
        <f>SUM(J468:J469)</f>
        <v>73702.489999999991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1163647.0900000001</v>
      </c>
      <c r="G472" s="18"/>
      <c r="H472" s="18">
        <v>30955.83</v>
      </c>
      <c r="I472" s="18"/>
      <c r="J472" s="18">
        <v>10260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1163647.0900000001</v>
      </c>
      <c r="G474" s="53">
        <f>SUM(G472:G473)</f>
        <v>0</v>
      </c>
      <c r="H474" s="53">
        <f>SUM(H472:H473)</f>
        <v>30955.83</v>
      </c>
      <c r="I474" s="53">
        <f>SUM(I472:I473)</f>
        <v>0</v>
      </c>
      <c r="J474" s="53">
        <f>SUM(J472:J473)</f>
        <v>10260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140757.32999999984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313587.64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33001.760000000002</v>
      </c>
      <c r="G521" s="18">
        <v>8390.68</v>
      </c>
      <c r="H521" s="18">
        <f>1490.66</f>
        <v>1490.66</v>
      </c>
      <c r="I521" s="18">
        <v>402.84</v>
      </c>
      <c r="J521" s="18"/>
      <c r="K521" s="18"/>
      <c r="L521" s="88">
        <f>SUM(F521:K521)</f>
        <v>43285.94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32106.12</v>
      </c>
      <c r="I522" s="18"/>
      <c r="J522" s="18"/>
      <c r="K522" s="18"/>
      <c r="L522" s="88">
        <f>SUM(F522:K522)</f>
        <v>32106.12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25854.93+27213.29</f>
        <v>53068.22</v>
      </c>
      <c r="I523" s="18"/>
      <c r="J523" s="18"/>
      <c r="K523" s="18"/>
      <c r="L523" s="88">
        <f>SUM(F523:K523)</f>
        <v>53068.22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33001.760000000002</v>
      </c>
      <c r="G524" s="108">
        <f t="shared" ref="G524:L524" si="36">SUM(G521:G523)</f>
        <v>8390.68</v>
      </c>
      <c r="H524" s="108">
        <f t="shared" si="36"/>
        <v>86665</v>
      </c>
      <c r="I524" s="108">
        <f t="shared" si="36"/>
        <v>402.84</v>
      </c>
      <c r="J524" s="108">
        <f t="shared" si="36"/>
        <v>0</v>
      </c>
      <c r="K524" s="108">
        <f t="shared" si="36"/>
        <v>0</v>
      </c>
      <c r="L524" s="89">
        <f t="shared" si="36"/>
        <v>128460.28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59.29+165.37</f>
        <v>224.66</v>
      </c>
      <c r="I526" s="18"/>
      <c r="J526" s="18"/>
      <c r="K526" s="18"/>
      <c r="L526" s="88">
        <f>SUM(F526:K526)</f>
        <v>224.66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224.66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224.66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33001.760000000002</v>
      </c>
      <c r="G545" s="89">
        <f t="shared" ref="G545:L545" si="41">G524+G529+G534+G539+G544</f>
        <v>8390.68</v>
      </c>
      <c r="H545" s="89">
        <f t="shared" si="41"/>
        <v>86889.66</v>
      </c>
      <c r="I545" s="89">
        <f t="shared" si="41"/>
        <v>402.84</v>
      </c>
      <c r="J545" s="89">
        <f t="shared" si="41"/>
        <v>0</v>
      </c>
      <c r="K545" s="89">
        <f t="shared" si="41"/>
        <v>0</v>
      </c>
      <c r="L545" s="89">
        <f t="shared" si="41"/>
        <v>128684.94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43285.94</v>
      </c>
      <c r="G549" s="87">
        <f>L526</f>
        <v>224.66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43510.600000000006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32106.12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32106.12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53068.22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53068.22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128460.28</v>
      </c>
      <c r="G552" s="89">
        <f t="shared" si="42"/>
        <v>224.66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128684.94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f>98143.12</f>
        <v>98143.12</v>
      </c>
      <c r="G575" s="18">
        <f>101200+32106.12</f>
        <v>133306.12</v>
      </c>
      <c r="H575" s="18">
        <f>237675+27213.29</f>
        <v>264888.28999999998</v>
      </c>
      <c r="I575" s="87">
        <f>SUM(F575:H575)</f>
        <v>496337.52999999997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f>38098.65+139666.45</f>
        <v>177765.1</v>
      </c>
      <c r="G578" s="18"/>
      <c r="H578" s="18"/>
      <c r="I578" s="87">
        <f t="shared" si="47"/>
        <v>177765.1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20064.2</v>
      </c>
      <c r="I591" s="18">
        <v>5378.04</v>
      </c>
      <c r="J591" s="18">
        <v>10967.29</v>
      </c>
      <c r="K591" s="104">
        <f t="shared" ref="K591:K597" si="48">SUM(H591:J591)</f>
        <v>36409.53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20064.2</v>
      </c>
      <c r="I598" s="108">
        <f>SUM(I591:I597)</f>
        <v>5378.04</v>
      </c>
      <c r="J598" s="108">
        <f>SUM(J591:J597)</f>
        <v>10967.29</v>
      </c>
      <c r="K598" s="108">
        <f>SUM(K591:K597)</f>
        <v>36409.53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849.8+883.35</f>
        <v>1733.15</v>
      </c>
      <c r="I604" s="18"/>
      <c r="J604" s="18"/>
      <c r="K604" s="104">
        <f>SUM(H604:J604)</f>
        <v>1733.15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1733.15</v>
      </c>
      <c r="I605" s="108">
        <f>SUM(I602:I604)</f>
        <v>0</v>
      </c>
      <c r="J605" s="108">
        <f>SUM(J602:J604)</f>
        <v>0</v>
      </c>
      <c r="K605" s="108">
        <f>SUM(K602:K604)</f>
        <v>1733.15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169038.63000000003</v>
      </c>
      <c r="H617" s="109">
        <f>SUM(F52)</f>
        <v>169038.62999999995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419.13000000000011</v>
      </c>
      <c r="H619" s="109">
        <f>SUM(H52)</f>
        <v>419.13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313587.64</v>
      </c>
      <c r="H621" s="109">
        <f>SUM(J52)</f>
        <v>313587.64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140757.32999999996</v>
      </c>
      <c r="H622" s="109">
        <f>F476</f>
        <v>140757.32999999984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313587.64</v>
      </c>
      <c r="H626" s="109">
        <f>J476</f>
        <v>313587.64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1205466.43</v>
      </c>
      <c r="H627" s="104">
        <f>SUM(F468)</f>
        <v>1205466.43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30955.83</v>
      </c>
      <c r="H629" s="104">
        <f>SUM(H468)</f>
        <v>30955.83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73702.490000000005</v>
      </c>
      <c r="H631" s="104">
        <f>SUM(J468)</f>
        <v>73702.489999999991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1163647.0899999999</v>
      </c>
      <c r="H632" s="104">
        <f>SUM(F472)</f>
        <v>1163647.0900000001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30955.83</v>
      </c>
      <c r="H633" s="104">
        <f>SUM(H472)</f>
        <v>30955.83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73702.490000000005</v>
      </c>
      <c r="H637" s="164">
        <f>SUM(J468)</f>
        <v>73702.489999999991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10260</v>
      </c>
      <c r="H638" s="164">
        <f>SUM(J472)</f>
        <v>10260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20448.84</v>
      </c>
      <c r="H639" s="104">
        <f>SUM(F461)</f>
        <v>20448.84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293138.8</v>
      </c>
      <c r="H640" s="104">
        <f>SUM(G461)</f>
        <v>293138.8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313587.64</v>
      </c>
      <c r="H642" s="104">
        <f>SUM(I461)</f>
        <v>313587.64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887.56</v>
      </c>
      <c r="H644" s="104">
        <f>H408</f>
        <v>887.56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60260</v>
      </c>
      <c r="H645" s="104">
        <f>G408</f>
        <v>60260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73702.490000000005</v>
      </c>
      <c r="H646" s="104">
        <f>L408</f>
        <v>73702.490000000005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36409.53</v>
      </c>
      <c r="H647" s="104">
        <f>L208+L226+L244</f>
        <v>36409.53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1733.15</v>
      </c>
      <c r="H648" s="104">
        <f>(J257+J338)-(J255+J336)</f>
        <v>1733.15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20064.2</v>
      </c>
      <c r="H649" s="104">
        <f>H598</f>
        <v>20064.2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5378.04</v>
      </c>
      <c r="H650" s="104">
        <f>I598</f>
        <v>5378.04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10967.29</v>
      </c>
      <c r="H651" s="104">
        <f>J598</f>
        <v>10967.29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10000</v>
      </c>
      <c r="H653" s="104">
        <f>K264</f>
        <v>10000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60260</v>
      </c>
      <c r="H655" s="104">
        <f>K266+K347</f>
        <v>60260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641814.72999999986</v>
      </c>
      <c r="G660" s="19">
        <f>(L229+L309+L359)</f>
        <v>151428.51</v>
      </c>
      <c r="H660" s="19">
        <f>(L247+L328+L360)</f>
        <v>327699.61999999994</v>
      </c>
      <c r="I660" s="19">
        <f>SUM(F660:H660)</f>
        <v>1120942.8599999999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20064.2</v>
      </c>
      <c r="G662" s="19">
        <f>(L226+L306)-(J226+J306)</f>
        <v>5378.04</v>
      </c>
      <c r="H662" s="19">
        <f>(L244+L325)-(J244+J325)</f>
        <v>10967.29</v>
      </c>
      <c r="I662" s="19">
        <f>SUM(F662:H662)</f>
        <v>36409.53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277641.37</v>
      </c>
      <c r="G663" s="199">
        <f>SUM(G575:G587)+SUM(I602:I604)+L612</f>
        <v>133306.12</v>
      </c>
      <c r="H663" s="199">
        <f>SUM(H575:H587)+SUM(J602:J604)+L613</f>
        <v>264888.28999999998</v>
      </c>
      <c r="I663" s="19">
        <f>SUM(F663:H663)</f>
        <v>675835.78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344109.15999999986</v>
      </c>
      <c r="G664" s="19">
        <f>G660-SUM(G661:G663)</f>
        <v>12744.350000000006</v>
      </c>
      <c r="H664" s="19">
        <f>H660-SUM(H661:H663)</f>
        <v>51844.039999999979</v>
      </c>
      <c r="I664" s="19">
        <f>I660-SUM(I661:I663)</f>
        <v>408697.54999999981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24.59</v>
      </c>
      <c r="G665" s="248"/>
      <c r="H665" s="248"/>
      <c r="I665" s="19">
        <f>SUM(F665:H665)</f>
        <v>24.59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13993.87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16620.48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-12744.35</v>
      </c>
      <c r="H669" s="18">
        <v>-51844.04</v>
      </c>
      <c r="I669" s="19">
        <f>SUM(F669:H669)</f>
        <v>-64588.39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13993.87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13993.87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9" sqref="B19: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Croydon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124014.94</v>
      </c>
      <c r="C9" s="229">
        <f>'DOE25'!G197+'DOE25'!G215+'DOE25'!G233+'DOE25'!G276+'DOE25'!G295+'DOE25'!G314</f>
        <v>52943.64</v>
      </c>
    </row>
    <row r="10" spans="1:3" x14ac:dyDescent="0.2">
      <c r="A10" t="s">
        <v>779</v>
      </c>
      <c r="B10" s="240">
        <v>110168.97</v>
      </c>
      <c r="C10" s="240">
        <v>51808.98</v>
      </c>
    </row>
    <row r="11" spans="1:3" x14ac:dyDescent="0.2">
      <c r="A11" t="s">
        <v>780</v>
      </c>
      <c r="B11" s="240">
        <v>13845.97</v>
      </c>
      <c r="C11" s="240">
        <v>1134.6600000000001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124014.94</v>
      </c>
      <c r="C13" s="231">
        <f>SUM(C10:C12)</f>
        <v>52943.640000000007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33001.760000000002</v>
      </c>
      <c r="C18" s="229">
        <f>'DOE25'!G198+'DOE25'!G216+'DOE25'!G234+'DOE25'!G277+'DOE25'!G296+'DOE25'!G315</f>
        <v>8390.68</v>
      </c>
    </row>
    <row r="19" spans="1:3" x14ac:dyDescent="0.2">
      <c r="A19" t="s">
        <v>779</v>
      </c>
      <c r="B19" s="240">
        <v>15074.67</v>
      </c>
      <c r="C19" s="240">
        <v>6895.19</v>
      </c>
    </row>
    <row r="20" spans="1:3" x14ac:dyDescent="0.2">
      <c r="A20" t="s">
        <v>780</v>
      </c>
      <c r="B20" s="240">
        <v>17927.09</v>
      </c>
      <c r="C20" s="240">
        <v>1495.49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33001.760000000002</v>
      </c>
      <c r="C22" s="231">
        <f>SUM(C19:C21)</f>
        <v>8390.68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B56" sqref="B5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Croydon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909134.24</v>
      </c>
      <c r="D5" s="20">
        <f>SUM('DOE25'!L197:L200)+SUM('DOE25'!L215:L218)+SUM('DOE25'!L233:L236)-F5-G5</f>
        <v>908234.69</v>
      </c>
      <c r="E5" s="243"/>
      <c r="F5" s="255">
        <f>SUM('DOE25'!J197:J200)+SUM('DOE25'!J215:J218)+SUM('DOE25'!J233:J236)</f>
        <v>849.8</v>
      </c>
      <c r="G5" s="53">
        <f>SUM('DOE25'!K197:K200)+SUM('DOE25'!K215:K218)+SUM('DOE25'!K233:K236)</f>
        <v>49.75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224.66</v>
      </c>
      <c r="D6" s="20">
        <f>'DOE25'!L202+'DOE25'!L220+'DOE25'!L238-F6-G6</f>
        <v>224.66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391.6</v>
      </c>
      <c r="D7" s="20">
        <f>'DOE25'!L203+'DOE25'!L221+'DOE25'!L239-F7-G7</f>
        <v>391.6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-4550</v>
      </c>
      <c r="D8" s="243"/>
      <c r="E8" s="20">
        <f>'DOE25'!L204+'DOE25'!L222+'DOE25'!L240-F8-G8-D9-D11</f>
        <v>-4550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25567.5</v>
      </c>
      <c r="D9" s="244">
        <v>25567.5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5450</v>
      </c>
      <c r="D10" s="243"/>
      <c r="E10" s="244">
        <v>5450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75262</v>
      </c>
      <c r="D11" s="244">
        <v>75262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12267.369999999999</v>
      </c>
      <c r="D12" s="20">
        <f>'DOE25'!L205+'DOE25'!L223+'DOE25'!L241-F12-G12</f>
        <v>12267.369999999999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35280.130000000005</v>
      </c>
      <c r="D14" s="20">
        <f>'DOE25'!L207+'DOE25'!L225+'DOE25'!L243-F14-G14</f>
        <v>35280.130000000005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36409.53</v>
      </c>
      <c r="D15" s="20">
        <f>'DOE25'!L208+'DOE25'!L226+'DOE25'!L244-F15-G15</f>
        <v>36409.53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30955.83</v>
      </c>
      <c r="D31" s="20">
        <f>'DOE25'!L290+'DOE25'!L309+'DOE25'!L328+'DOE25'!L333+'DOE25'!L334+'DOE25'!L335-F31-G31</f>
        <v>30072.480000000003</v>
      </c>
      <c r="E31" s="243"/>
      <c r="F31" s="255">
        <f>'DOE25'!J290+'DOE25'!J309+'DOE25'!J328+'DOE25'!J333+'DOE25'!J334+'DOE25'!J335</f>
        <v>883.35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1123709.96</v>
      </c>
      <c r="E33" s="246">
        <f>SUM(E5:E31)</f>
        <v>900</v>
      </c>
      <c r="F33" s="246">
        <f>SUM(F5:F31)</f>
        <v>1733.15</v>
      </c>
      <c r="G33" s="246">
        <f>SUM(G5:G31)</f>
        <v>49.75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900</v>
      </c>
      <c r="E35" s="249"/>
    </row>
    <row r="36" spans="2:8" ht="12" thickTop="1" x14ac:dyDescent="0.2">
      <c r="B36" t="s">
        <v>815</v>
      </c>
      <c r="D36" s="20">
        <f>D33</f>
        <v>1123709.96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Croydon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78151.320000000007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313587.64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6442.5400000000373</v>
      </c>
      <c r="D11" s="95">
        <f>'DOE25'!G12</f>
        <v>0</v>
      </c>
      <c r="E11" s="95">
        <f>'DOE25'!H12</f>
        <v>-6442.54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84444.76999999999</v>
      </c>
      <c r="D12" s="95">
        <f>'DOE25'!G13</f>
        <v>0</v>
      </c>
      <c r="E12" s="95">
        <f>'DOE25'!H13</f>
        <v>6861.67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169038.63000000003</v>
      </c>
      <c r="D18" s="41">
        <f>SUM(D8:D17)</f>
        <v>0</v>
      </c>
      <c r="E18" s="41">
        <f>SUM(E8:E17)</f>
        <v>419.13000000000011</v>
      </c>
      <c r="F18" s="41">
        <f>SUM(F8:F17)</f>
        <v>0</v>
      </c>
      <c r="G18" s="41">
        <f>SUM(G8:G17)</f>
        <v>313587.64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25854.93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2426.37</v>
      </c>
      <c r="D23" s="95">
        <f>'DOE25'!G24</f>
        <v>0</v>
      </c>
      <c r="E23" s="95">
        <f>'DOE25'!H24</f>
        <v>419.13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28281.3</v>
      </c>
      <c r="D31" s="41">
        <f>SUM(D21:D30)</f>
        <v>0</v>
      </c>
      <c r="E31" s="41">
        <f>SUM(E21:E30)</f>
        <v>419.13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313587.64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140757.32999999996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140757.32999999996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313587.64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169038.62999999995</v>
      </c>
      <c r="D51" s="41">
        <f>D50+D31</f>
        <v>0</v>
      </c>
      <c r="E51" s="41">
        <f>E50+E31</f>
        <v>419.13</v>
      </c>
      <c r="F51" s="41">
        <f>F50+F31</f>
        <v>0</v>
      </c>
      <c r="G51" s="41">
        <f>G50+G31</f>
        <v>313587.64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669285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16.75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887.56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23590.210000000003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12554.93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23606.960000000003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13442.49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692891.96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13442.49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251594.25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217009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468603.25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32065.52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32065.52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500668.77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10657.870000000003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1645.7</v>
      </c>
      <c r="D88" s="95">
        <f>SUM('DOE25'!G153:G161)</f>
        <v>0</v>
      </c>
      <c r="E88" s="95">
        <f>SUM('DOE25'!H153:H161)</f>
        <v>10297.959999999999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1645.7</v>
      </c>
      <c r="D91" s="131">
        <f>SUM(D85:D90)</f>
        <v>0</v>
      </c>
      <c r="E91" s="131">
        <f>SUM(E85:E90)</f>
        <v>20955.830000000002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10000</v>
      </c>
      <c r="F96" s="95">
        <f>'DOE25'!I179</f>
        <v>0</v>
      </c>
      <c r="G96" s="95">
        <f>'DOE25'!J179</f>
        <v>60260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10260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10260</v>
      </c>
      <c r="D103" s="86">
        <f>SUM(D93:D102)</f>
        <v>0</v>
      </c>
      <c r="E103" s="86">
        <f>SUM(E93:E102)</f>
        <v>10000</v>
      </c>
      <c r="F103" s="86">
        <f>SUM(F93:F102)</f>
        <v>0</v>
      </c>
      <c r="G103" s="86">
        <f>SUM(G93:G102)</f>
        <v>60260</v>
      </c>
    </row>
    <row r="104" spans="1:7" ht="12.75" thickTop="1" thickBot="1" x14ac:dyDescent="0.25">
      <c r="A104" s="33" t="s">
        <v>765</v>
      </c>
      <c r="C104" s="86">
        <f>C63+C81+C91+C103</f>
        <v>1205466.43</v>
      </c>
      <c r="D104" s="86">
        <f>D63+D81+D91+D103</f>
        <v>0</v>
      </c>
      <c r="E104" s="86">
        <f>E63+E81+E91+E103</f>
        <v>30955.83</v>
      </c>
      <c r="F104" s="86">
        <f>F63+F81+F91+F103</f>
        <v>0</v>
      </c>
      <c r="G104" s="86">
        <f>G63+G81+G103</f>
        <v>73702.490000000005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648435.38</v>
      </c>
      <c r="D109" s="24" t="s">
        <v>289</v>
      </c>
      <c r="E109" s="95">
        <f>('DOE25'!L276)+('DOE25'!L295)+('DOE25'!L314)</f>
        <v>10297.960000000001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260698.86</v>
      </c>
      <c r="D110" s="24" t="s">
        <v>289</v>
      </c>
      <c r="E110" s="95">
        <f>('DOE25'!L277)+('DOE25'!L296)+('DOE25'!L315)</f>
        <v>7427.87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909134.24</v>
      </c>
      <c r="D115" s="86">
        <f>SUM(D109:D114)</f>
        <v>0</v>
      </c>
      <c r="E115" s="86">
        <f>SUM(E109:E114)</f>
        <v>17725.830000000002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224.66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391.6</v>
      </c>
      <c r="D119" s="24" t="s">
        <v>289</v>
      </c>
      <c r="E119" s="95">
        <f>+('DOE25'!L282)+('DOE25'!L301)+('DOE25'!L320)</f>
        <v>3230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96279.5</v>
      </c>
      <c r="D120" s="24" t="s">
        <v>289</v>
      </c>
      <c r="E120" s="95">
        <f>+('DOE25'!L283)+('DOE25'!L302)+('DOE25'!L321)</f>
        <v>10000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12267.369999999999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35280.130000000005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39809.590000000004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184252.85</v>
      </c>
      <c r="D128" s="86">
        <f>SUM(D118:D127)</f>
        <v>0</v>
      </c>
      <c r="E128" s="86">
        <f>SUM(E118:E127)</f>
        <v>13230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10260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10000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73702.490000000005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-13442.490000000005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70260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10260</v>
      </c>
    </row>
    <row r="145" spans="1:9" ht="12.75" thickTop="1" thickBot="1" x14ac:dyDescent="0.25">
      <c r="A145" s="33" t="s">
        <v>244</v>
      </c>
      <c r="C145" s="86">
        <f>(C115+C128+C144)</f>
        <v>1163647.0900000001</v>
      </c>
      <c r="D145" s="86">
        <f>(D115+D128+D144)</f>
        <v>0</v>
      </c>
      <c r="E145" s="86">
        <f>(E115+E128+E144)</f>
        <v>30955.83</v>
      </c>
      <c r="F145" s="86">
        <f>(F115+F128+F144)</f>
        <v>0</v>
      </c>
      <c r="G145" s="86">
        <f>(G115+G128+G144)</f>
        <v>10260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7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Croydon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13994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13994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658733</v>
      </c>
      <c r="D10" s="182">
        <f>ROUND((C10/$C$28)*100,1)</f>
        <v>58.6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268127</v>
      </c>
      <c r="D11" s="182">
        <f>ROUND((C11/$C$28)*100,1)</f>
        <v>23.8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225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3622</v>
      </c>
      <c r="D16" s="182">
        <f t="shared" si="0"/>
        <v>0.3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106280</v>
      </c>
      <c r="D17" s="182">
        <f t="shared" si="0"/>
        <v>9.5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12267</v>
      </c>
      <c r="D18" s="182">
        <f t="shared" si="0"/>
        <v>1.1000000000000001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35280</v>
      </c>
      <c r="D20" s="182">
        <f t="shared" si="0"/>
        <v>3.1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36410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3400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1124344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1124344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669285</v>
      </c>
      <c r="D35" s="182">
        <f t="shared" ref="D35:D40" si="1">ROUND((C35/$C$41)*100,1)</f>
        <v>54.4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37049.449999999953</v>
      </c>
      <c r="D36" s="182">
        <f t="shared" si="1"/>
        <v>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468603</v>
      </c>
      <c r="D37" s="182">
        <f t="shared" si="1"/>
        <v>38.1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32066</v>
      </c>
      <c r="D38" s="182">
        <f t="shared" si="1"/>
        <v>2.6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22602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1229605.45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Croydon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2016-11-02T12:00:26Z</cp:lastPrinted>
  <dcterms:created xsi:type="dcterms:W3CDTF">1997-12-04T19:04:30Z</dcterms:created>
  <dcterms:modified xsi:type="dcterms:W3CDTF">2016-11-02T12:06:53Z</dcterms:modified>
</cp:coreProperties>
</file>