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D11" i="13" l="1"/>
  <c r="D9" i="13"/>
  <c r="C39" i="12" l="1"/>
  <c r="C38" i="12"/>
  <c r="C37" i="12"/>
  <c r="B39" i="12"/>
  <c r="B38" i="12"/>
  <c r="B37" i="12"/>
  <c r="C30" i="12"/>
  <c r="C28" i="12"/>
  <c r="B30" i="12"/>
  <c r="B29" i="12"/>
  <c r="B28" i="12"/>
  <c r="C21" i="12"/>
  <c r="C20" i="12"/>
  <c r="C19" i="12"/>
  <c r="B20" i="12"/>
  <c r="B19" i="12"/>
  <c r="B21" i="12"/>
  <c r="C11" i="12"/>
  <c r="C10" i="12"/>
  <c r="B12" i="12"/>
  <c r="B11" i="12"/>
  <c r="B10" i="12"/>
  <c r="H48" i="1" l="1"/>
  <c r="G40" i="1" l="1"/>
  <c r="H49" i="1"/>
  <c r="G1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1" i="1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C15" i="10" s="1"/>
  <c r="L238" i="1"/>
  <c r="F7" i="13"/>
  <c r="G7" i="13"/>
  <c r="L203" i="1"/>
  <c r="C16" i="10" s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20" i="10" s="1"/>
  <c r="F15" i="13"/>
  <c r="G15" i="13"/>
  <c r="L208" i="1"/>
  <c r="L226" i="1"/>
  <c r="G662" i="1" s="1"/>
  <c r="I662" i="1" s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C11" i="10" s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C10" i="10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C32" i="10" s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A13" i="12" s="1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G62" i="2" s="1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79" i="1"/>
  <c r="F94" i="1"/>
  <c r="C58" i="2" s="1"/>
  <c r="F111" i="1"/>
  <c r="F112" i="1" s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G147" i="1"/>
  <c r="G162" i="1"/>
  <c r="H147" i="1"/>
  <c r="H162" i="1"/>
  <c r="I147" i="1"/>
  <c r="F85" i="2" s="1"/>
  <c r="I162" i="1"/>
  <c r="I169" i="1" s="1"/>
  <c r="C12" i="10"/>
  <c r="C13" i="10"/>
  <c r="C17" i="10"/>
  <c r="C18" i="10"/>
  <c r="C21" i="10"/>
  <c r="L250" i="1"/>
  <c r="L332" i="1"/>
  <c r="L254" i="1"/>
  <c r="C25" i="10"/>
  <c r="L268" i="1"/>
  <c r="C26" i="10" s="1"/>
  <c r="L269" i="1"/>
  <c r="L349" i="1"/>
  <c r="L350" i="1"/>
  <c r="I665" i="1"/>
  <c r="I670" i="1"/>
  <c r="L229" i="1"/>
  <c r="L247" i="1"/>
  <c r="F661" i="1"/>
  <c r="G661" i="1"/>
  <c r="H661" i="1"/>
  <c r="F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E137" i="2" s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K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F18" i="2" s="1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E31" i="2" s="1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F56" i="2"/>
  <c r="C57" i="2"/>
  <c r="E57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F81" i="2" s="1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D91" i="2" s="1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E128" i="2" s="1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I271" i="1" s="1"/>
  <c r="J211" i="1"/>
  <c r="K211" i="1"/>
  <c r="F229" i="1"/>
  <c r="F257" i="1" s="1"/>
  <c r="F271" i="1" s="1"/>
  <c r="G229" i="1"/>
  <c r="G257" i="1" s="1"/>
  <c r="G271" i="1" s="1"/>
  <c r="H229" i="1"/>
  <c r="I229" i="1"/>
  <c r="J229" i="1"/>
  <c r="K229" i="1"/>
  <c r="K257" i="1" s="1"/>
  <c r="K271" i="1" s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H634" i="1" s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446" i="1"/>
  <c r="H446" i="1"/>
  <c r="G641" i="1" s="1"/>
  <c r="J641" i="1" s="1"/>
  <c r="I446" i="1"/>
  <c r="F452" i="1"/>
  <c r="G452" i="1"/>
  <c r="H452" i="1"/>
  <c r="F460" i="1"/>
  <c r="G460" i="1"/>
  <c r="H460" i="1"/>
  <c r="F461" i="1"/>
  <c r="G461" i="1"/>
  <c r="H640" i="1" s="1"/>
  <c r="H461" i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H545" i="1" s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5" i="1"/>
  <c r="H636" i="1"/>
  <c r="H637" i="1"/>
  <c r="H638" i="1"/>
  <c r="G639" i="1"/>
  <c r="H639" i="1"/>
  <c r="G640" i="1"/>
  <c r="G642" i="1"/>
  <c r="G643" i="1"/>
  <c r="H643" i="1"/>
  <c r="J643" i="1" s="1"/>
  <c r="G644" i="1"/>
  <c r="H644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L256" i="1"/>
  <c r="L328" i="1"/>
  <c r="L290" i="1"/>
  <c r="C70" i="2"/>
  <c r="D12" i="13"/>
  <c r="C12" i="13" s="1"/>
  <c r="D18" i="13"/>
  <c r="C18" i="13" s="1"/>
  <c r="D15" i="13"/>
  <c r="C15" i="13" s="1"/>
  <c r="D7" i="13"/>
  <c r="C7" i="13" s="1"/>
  <c r="D17" i="13"/>
  <c r="C17" i="13" s="1"/>
  <c r="D6" i="13"/>
  <c r="C6" i="13" s="1"/>
  <c r="E8" i="13"/>
  <c r="C8" i="13" s="1"/>
  <c r="C91" i="2"/>
  <c r="C128" i="2"/>
  <c r="C78" i="2"/>
  <c r="C81" i="2" s="1"/>
  <c r="E115" i="2"/>
  <c r="E103" i="2"/>
  <c r="E62" i="2"/>
  <c r="D29" i="13"/>
  <c r="C29" i="13" s="1"/>
  <c r="D19" i="13"/>
  <c r="C19" i="13" s="1"/>
  <c r="D14" i="13"/>
  <c r="C14" i="13" s="1"/>
  <c r="E13" i="13"/>
  <c r="C13" i="13" s="1"/>
  <c r="E78" i="2"/>
  <c r="J257" i="1"/>
  <c r="J271" i="1" s="1"/>
  <c r="H112" i="1"/>
  <c r="J639" i="1"/>
  <c r="K605" i="1"/>
  <c r="G648" i="1" s="1"/>
  <c r="L419" i="1"/>
  <c r="H169" i="1"/>
  <c r="G552" i="1"/>
  <c r="J644" i="1"/>
  <c r="J476" i="1"/>
  <c r="H626" i="1" s="1"/>
  <c r="H476" i="1"/>
  <c r="H624" i="1" s="1"/>
  <c r="F476" i="1"/>
  <c r="H622" i="1" s="1"/>
  <c r="J622" i="1" s="1"/>
  <c r="I476" i="1"/>
  <c r="H625" i="1" s="1"/>
  <c r="F169" i="1"/>
  <c r="J140" i="1"/>
  <c r="H257" i="1"/>
  <c r="H271" i="1" s="1"/>
  <c r="I552" i="1"/>
  <c r="G22" i="2"/>
  <c r="K598" i="1"/>
  <c r="G647" i="1" s="1"/>
  <c r="J647" i="1" s="1"/>
  <c r="H552" i="1"/>
  <c r="C29" i="10"/>
  <c r="I661" i="1"/>
  <c r="L401" i="1"/>
  <c r="C139" i="2" s="1"/>
  <c r="L393" i="1"/>
  <c r="C138" i="2" s="1"/>
  <c r="F22" i="13"/>
  <c r="H25" i="13"/>
  <c r="C25" i="13" s="1"/>
  <c r="J651" i="1"/>
  <c r="H571" i="1"/>
  <c r="L560" i="1"/>
  <c r="H338" i="1"/>
  <c r="H352" i="1" s="1"/>
  <c r="F338" i="1"/>
  <c r="F352" i="1" s="1"/>
  <c r="G192" i="1"/>
  <c r="F552" i="1"/>
  <c r="C35" i="10"/>
  <c r="L309" i="1"/>
  <c r="D5" i="13"/>
  <c r="C5" i="13" s="1"/>
  <c r="E16" i="13"/>
  <c r="J655" i="1"/>
  <c r="I571" i="1"/>
  <c r="I545" i="1"/>
  <c r="G36" i="2"/>
  <c r="L565" i="1"/>
  <c r="G545" i="1"/>
  <c r="K551" i="1"/>
  <c r="C22" i="13"/>
  <c r="H33" i="13"/>
  <c r="C18" i="2" l="1"/>
  <c r="E33" i="13"/>
  <c r="D35" i="13" s="1"/>
  <c r="A40" i="12"/>
  <c r="A31" i="12"/>
  <c r="J640" i="1"/>
  <c r="L351" i="1"/>
  <c r="J625" i="1"/>
  <c r="E63" i="2"/>
  <c r="H660" i="1"/>
  <c r="H664" i="1" s="1"/>
  <c r="G645" i="1"/>
  <c r="J645" i="1" s="1"/>
  <c r="L539" i="1"/>
  <c r="G161" i="2"/>
  <c r="C115" i="2"/>
  <c r="D31" i="2"/>
  <c r="D18" i="2"/>
  <c r="E81" i="2"/>
  <c r="F660" i="1"/>
  <c r="F664" i="1" s="1"/>
  <c r="L544" i="1"/>
  <c r="L524" i="1"/>
  <c r="L545" i="1" s="1"/>
  <c r="I460" i="1"/>
  <c r="I452" i="1"/>
  <c r="I461" i="1" s="1"/>
  <c r="H642" i="1" s="1"/>
  <c r="G164" i="2"/>
  <c r="G156" i="2"/>
  <c r="D145" i="2"/>
  <c r="G81" i="2"/>
  <c r="C62" i="2"/>
  <c r="C63" i="2" s="1"/>
  <c r="G112" i="1"/>
  <c r="C36" i="10" s="1"/>
  <c r="K552" i="1"/>
  <c r="L257" i="1"/>
  <c r="L271" i="1" s="1"/>
  <c r="G632" i="1" s="1"/>
  <c r="C16" i="13"/>
  <c r="G624" i="1"/>
  <c r="J624" i="1" s="1"/>
  <c r="K503" i="1"/>
  <c r="G476" i="1"/>
  <c r="H623" i="1" s="1"/>
  <c r="D50" i="2"/>
  <c r="D51" i="2" s="1"/>
  <c r="J617" i="1"/>
  <c r="J623" i="1"/>
  <c r="K500" i="1"/>
  <c r="L337" i="1"/>
  <c r="L338" i="1" s="1"/>
  <c r="L352" i="1" s="1"/>
  <c r="G633" i="1" s="1"/>
  <c r="J633" i="1" s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667" i="1"/>
  <c r="G672" i="1"/>
  <c r="C5" i="10" s="1"/>
  <c r="G42" i="2"/>
  <c r="J51" i="1"/>
  <c r="G16" i="2"/>
  <c r="J19" i="1"/>
  <c r="G621" i="1" s="1"/>
  <c r="F33" i="13"/>
  <c r="G18" i="2"/>
  <c r="F545" i="1"/>
  <c r="H434" i="1"/>
  <c r="J620" i="1"/>
  <c r="J619" i="1"/>
  <c r="D103" i="2"/>
  <c r="D104" i="2" s="1"/>
  <c r="I140" i="1"/>
  <c r="A22" i="12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G635" i="1"/>
  <c r="J635" i="1" s="1"/>
  <c r="C28" i="10" l="1"/>
  <c r="I193" i="1"/>
  <c r="G630" i="1" s="1"/>
  <c r="J630" i="1" s="1"/>
  <c r="D31" i="13"/>
  <c r="C31" i="13" s="1"/>
  <c r="G104" i="2"/>
  <c r="F672" i="1"/>
  <c r="C4" i="10" s="1"/>
  <c r="F667" i="1"/>
  <c r="L408" i="1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I667" i="1"/>
  <c r="D28" i="10"/>
  <c r="C41" i="10"/>
  <c r="D38" i="10" s="1"/>
  <c r="H656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<sst xmlns="http://schemas.openxmlformats.org/spreadsheetml/2006/main" count="3957" uniqueCount="915">
  <si>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</si>
  <si>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</si>
  <si>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</si>
  <si>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</si>
  <si>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</si>
  <si>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</si>
  <si>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</si>
  <si>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</si>
  <si>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</si>
  <si>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</si>
  <si>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</si>
  <si>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</si>
  <si>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</si>
  <si>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</si>
  <si>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</si>
  <si>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</si>
  <si>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</si>
  <si>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</si>
  <si>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</si>
  <si>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</si>
  <si>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</si>
  <si>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</si>
  <si>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</si>
  <si>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</si>
  <si>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</si>
  <si>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</si>
  <si>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</si>
  <si>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</si>
  <si>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</si>
  <si>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</si>
  <si>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</si>
  <si>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</si>
  <si>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</si>
  <si>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</si>
  <si>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</si>
  <si>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</si>
  <si>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</si>
  <si>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</si>
  <si>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</si>
  <si>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</si>
  <si>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</si>
  <si>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</si>
  <si>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</si>
  <si>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</si>
  <si>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</si>
  <si>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</si>
  <si>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</si>
  <si>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</si>
  <si>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</si>
  <si>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</si>
  <si>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</si>
  <si>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</si>
  <si>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</si>
  <si>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</si>
  <si>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</si>
  <si>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</si>
  <si>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</si>
  <si>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</si>
  <si>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</si>
  <si>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</si>
  <si>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</si>
  <si>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</si>
  <si>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</si>
  <si>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</si>
  <si>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</si>
  <si>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</si>
  <si>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</si>
  <si>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</si>
  <si>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</si>
  <si>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</si>
  <si>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</si>
  <si>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</si>
  <si>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</si>
  <si>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</si>
  <si>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</si>
  <si>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</si>
  <si>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</si>
  <si>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</si>
  <si>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</si>
  <si>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</si>
  <si>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</si>
  <si>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</si>
  <si>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</si>
  <si>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</si>
  <si>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</si>
  <si>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</si>
  <si>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</si>
  <si>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</si>
  <si>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</si>
  <si>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</si>
  <si>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</si>
  <si>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</si>
  <si>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</si>
  <si>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</si>
  <si>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</si>
  <si>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</si>
  <si>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</si>
  <si>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</si>
  <si>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</si>
  <si>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</si>
  <si>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</si>
  <si>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</si>
  <si>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</si>
  <si>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</si>
  <si>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</si>
  <si>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</si>
  <si>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</si>
  <si>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</si>
  <si>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</si>
  <si>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</si>
  <si>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</si>
  <si>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</si>
  <si>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</si>
  <si>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</si>
  <si>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</si>
  <si>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</si>
  <si>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</si>
  <si>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</si>
  <si>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</si>
  <si>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</si>
  <si>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</si>
  <si>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</si>
  <si>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</si>
  <si>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</si>
  <si>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</si>
  <si>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</si>
  <si>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</si>
  <si>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</si>
  <si>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</si>
  <si>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</si>
  <si>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</si>
  <si>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</si>
  <si>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</si>
  <si>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</si>
  <si>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</si>
  <si>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</si>
  <si>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</si>
  <si>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</si>
  <si>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</si>
  <si>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</si>
  <si>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</si>
  <si>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</si>
  <si>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</si>
  <si>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</si>
  <si>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</si>
  <si>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</si>
  <si>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</si>
  <si>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</si>
  <si>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</si>
  <si>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</si>
  <si>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</si>
  <si>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</si>
  <si>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</si>
  <si>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</si>
  <si>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</si>
  <si>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</si>
  <si>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</si>
  <si>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</si>
  <si>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</si>
  <si>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</si>
  <si>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</si>
  <si>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</si>
  <si>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</si>
  <si>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</si>
  <si>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</si>
  <si>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</si>
  <si>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</si>
  <si>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</si>
  <si>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</si>
  <si>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</si>
  <si>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</si>
  <si>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</si>
  <si>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</si>
  <si>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</si>
  <si>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</si>
  <si>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</si>
  <si>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</si>
  <si>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</si>
  <si>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</si>
  <si>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</si>
  <si>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</si>
  <si>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</si>
  <si>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</si>
  <si>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</si>
  <si>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</si>
  <si>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</si>
  <si>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</si>
  <si>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</si>
  <si>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</si>
  <si>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</si>
  <si>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</si>
  <si>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</si>
  <si>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</si>
  <si>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</si>
  <si>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</si>
  <si>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</si>
  <si>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</si>
  <si>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</si>
  <si>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</si>
  <si>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</si>
  <si>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</si>
  <si>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</si>
  <si>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</si>
  <si>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</si>
  <si>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</si>
  <si>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</si>
  <si>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</si>
  <si>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</si>
  <si>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</si>
  <si>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</si>
  <si>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</si>
  <si>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</si>
  <si>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</si>
  <si>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</si>
  <si>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</si>
  <si>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</si>
  <si>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</si>
  <si>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</si>
  <si>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</si>
  <si>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</si>
  <si>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</si>
  <si>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</si>
  <si>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</si>
  <si>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</si>
  <si>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</si>
  <si>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</si>
  <si>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</si>
  <si>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</si>
  <si>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</si>
  <si>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</si>
  <si>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</si>
  <si>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</si>
  <si>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</si>
  <si>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</si>
  <si>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</si>
  <si>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</si>
  <si>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</si>
  <si>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</si>
  <si>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</si>
  <si>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</si>
  <si>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</si>
  <si>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</si>
  <si>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</si>
  <si>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</si>
  <si>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</si>
  <si>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</si>
  <si>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</si>
  <si>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</si>
  <si>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</si>
  <si>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</si>
  <si>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</si>
  <si>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</si>
  <si>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</si>
  <si>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</si>
  <si>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</si>
  <si>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</si>
  <si>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</si>
  <si>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</si>
  <si>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</si>
  <si>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</si>
  <si>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</si>
  <si>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</si>
  <si>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</si>
  <si>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</si>
  <si>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</si>
  <si>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</si>
  <si>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</si>
  <si>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</si>
  <si>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</si>
  <si>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</si>
  <si>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</si>
  <si>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</si>
  <si>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</si>
  <si>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</si>
  <si>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</si>
  <si>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</si>
  <si>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</si>
  <si>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</si>
  <si>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</si>
  <si>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</si>
  <si>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</si>
  <si>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</si>
  <si>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</si>
  <si>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</si>
  <si>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</si>
  <si>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</si>
  <si>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</si>
  <si>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</si>
  <si>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</si>
  <si>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</si>
  <si>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</si>
  <si>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</si>
  <si>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</si>
  <si>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</si>
  <si>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</si>
  <si>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</si>
  <si>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</si>
  <si>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</si>
  <si>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</si>
  <si>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</si>
  <si>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</si>
  <si>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</si>
  <si>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</si>
  <si>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</si>
  <si>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</si>
  <si>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</si>
  <si>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</si>
  <si>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</si>
  <si>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</si>
  <si>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</si>
  <si>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</si>
  <si>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</si>
  <si>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</si>
  <si>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</si>
  <si>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</si>
  <si>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</si>
  <si>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</si>
  <si>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</si>
  <si>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</si>
  <si>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</si>
  <si>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</si>
  <si>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</si>
  <si>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</si>
  <si>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</si>
  <si>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</si>
  <si>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</si>
  <si>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</si>
  <si>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</si>
  <si>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</si>
  <si>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</si>
  <si>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</si>
  <si>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</si>
  <si>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</si>
  <si>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</si>
  <si>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</si>
  <si>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</si>
  <si>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</si>
  <si>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</si>
  <si>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</si>
  <si>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</si>
  <si>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</si>
  <si>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</si>
  <si>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</si>
  <si>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</si>
  <si>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</si>
  <si>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</si>
  <si>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</si>
  <si>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</si>
  <si>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</si>
  <si>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</si>
  <si>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</si>
  <si>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</si>
  <si>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</si>
  <si>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</si>
  <si>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</si>
  <si>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</si>
  <si>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</si>
  <si>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</si>
  <si>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</si>
  <si>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</si>
  <si>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</si>
  <si>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</si>
  <si>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</si>
  <si>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</si>
  <si>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</si>
  <si>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</si>
  <si>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</si>
  <si>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</si>
  <si>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</si>
  <si>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</si>
  <si>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</si>
  <si>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</si>
  <si>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</si>
  <si>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</si>
  <si>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</si>
  <si>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</si>
  <si>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</si>
  <si>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</si>
  <si>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</si>
  <si>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</si>
  <si>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</si>
  <si>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</si>
  <si>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</si>
  <si>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</si>
  <si>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</si>
  <si>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</si>
  <si>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</si>
  <si>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</si>
  <si>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</si>
  <si>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</si>
  <si>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</si>
  <si>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</si>
  <si>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</si>
  <si>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</si>
  <si>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</si>
  <si>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</si>
  <si>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</si>
  <si>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</si>
  <si>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</si>
  <si>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</si>
  <si>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</si>
  <si>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</si>
  <si>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</si>
  <si>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</si>
  <si>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</si>
  <si>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</si>
  <si>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</si>
  <si>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</si>
  <si>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</si>
  <si>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</si>
  <si>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</si>
  <si>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</si>
  <si>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</si>
  <si>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</si>
  <si>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</si>
  <si>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</si>
  <si>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</si>
  <si>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</si>
  <si>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</si>
  <si>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</si>
  <si>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</si>
  <si>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</si>
  <si>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</si>
  <si>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</si>
  <si>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</si>
  <si>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</si>
  <si>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</si>
  <si>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</si>
  <si>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</si>
  <si>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</si>
  <si>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</si>
  <si>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</si>
  <si>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</si>
  <si>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</si>
  <si>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</si>
  <si>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</si>
  <si>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</si>
  <si>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</si>
  <si>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</si>
  <si>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</si>
  <si>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</si>
  <si>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</si>
  <si>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</si>
  <si>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</si>
  <si>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</si>
  <si>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</si>
  <si>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</si>
  <si>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</si>
  <si>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</si>
  <si>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</si>
  <si>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</si>
  <si>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</si>
  <si>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</si>
  <si>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</si>
  <si>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</si>
  <si>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</si>
  <si>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</si>
  <si>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</si>
  <si>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</si>
  <si>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</si>
  <si>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</si>
  <si>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</si>
  <si>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</si>
  <si>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</si>
  <si>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</si>
  <si>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</si>
  <si>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</si>
  <si>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</si>
  <si>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</si>
  <si>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</si>
  <si>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</si>
  <si>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</si>
  <si>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</si>
  <si>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</si>
  <si>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</si>
  <si>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</si>
  <si>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</si>
  <si>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</si>
  <si>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</si>
  <si>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</si>
  <si>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</si>
  <si>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</si>
  <si>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</si>
  <si>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</si>
  <si>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</si>
  <si>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</si>
  <si>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</si>
  <si>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</si>
  <si>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</si>
  <si>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</si>
  <si>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</si>
  <si>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</si>
  <si>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</si>
  <si>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</si>
  <si>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</si>
  <si>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</si>
  <si>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</si>
  <si>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</si>
  <si>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</si>
  <si>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</si>
  <si>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</si>
  <si>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</si>
  <si>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</si>
  <si>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</si>
  <si>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</si>
  <si>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</si>
  <si>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</si>
  <si>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</si>
  <si>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</si>
  <si>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</si>
  <si>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</si>
  <si>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</si>
  <si>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</si>
  <si>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</si>
  <si>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</si>
  <si>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</si>
  <si>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</si>
  <si>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</si>
  <si>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</si>
  <si>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</si>
  <si>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</si>
  <si>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</si>
  <si>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</si>
  <si>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</si>
  <si>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</si>
  <si>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</si>
  <si>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</si>
  <si>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</si>
  <si>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</si>
  <si>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</si>
  <si>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</si>
  <si>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</si>
  <si>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</si>
  <si>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</si>
  <si>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</si>
  <si>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</si>
  <si>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</si>
  <si>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</si>
  <si>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</si>
  <si>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</si>
  <si>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</si>
  <si>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</si>
  <si>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</si>
  <si>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</si>
  <si>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</si>
  <si>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</si>
  <si>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</si>
  <si>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</si>
  <si>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</si>
  <si>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</si>
  <si>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</si>
  <si>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</si>
  <si>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</si>
  <si>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</si>
  <si>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</si>
  <si>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</si>
  <si>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</si>
  <si>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</si>
  <si>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</si>
  <si>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</si>
  <si>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</si>
  <si>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</si>
  <si>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</si>
  <si>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</si>
  <si>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</si>
  <si>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</si>
  <si>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</si>
  <si>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</si>
  <si>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</si>
  <si>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</si>
  <si>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</si>
  <si>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</si>
  <si>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</si>
  <si>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</si>
  <si>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</si>
  <si>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</si>
  <si>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</si>
  <si>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</si>
  <si>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</si>
  <si>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</si>
  <si>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</si>
  <si>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</si>
  <si>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</si>
  <si>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</si>
  <si>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</si>
  <si>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</si>
  <si>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</si>
  <si>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</si>
  <si>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</si>
  <si>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</si>
  <si>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</si>
  <si>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</si>
  <si>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</si>
  <si>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</si>
  <si>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</si>
  <si>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</si>
  <si>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</si>
  <si>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</si>
  <si>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</si>
  <si>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</si>
  <si>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</si>
  <si>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</si>
  <si>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</si>
  <si>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</si>
  <si>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</si>
  <si>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</si>
  <si>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</si>
  <si>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</si>
  <si>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</si>
  <si>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</si>
  <si>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</si>
  <si>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</si>
  <si>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</si>
  <si>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</si>
  <si>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</si>
  <si>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</si>
  <si>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</si>
  <si>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</si>
  <si>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</si>
  <si>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</si>
  <si>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</si>
  <si>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</si>
  <si>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</si>
  <si>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</si>
  <si>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</si>
  <si>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</si>
  <si>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</si>
  <si>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</si>
  <si>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</si>
  <si>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</si>
  <si>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</si>
  <si>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</si>
  <si>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</si>
  <si>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</si>
  <si>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</si>
  <si>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</si>
  <si>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</si>
  <si>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</si>
  <si>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</si>
  <si>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</si>
  <si>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</si>
  <si>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</si>
  <si>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</si>
  <si>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</si>
  <si>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</si>
  <si>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</si>
  <si>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</si>
  <si>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</si>
  <si>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</si>
  <si>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</si>
  <si>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</si>
  <si>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</si>
  <si>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</si>
  <si>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</si>
  <si>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</si>
  <si>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</si>
  <si>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</si>
  <si>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</si>
  <si>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</si>
  <si>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</si>
  <si>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</si>
  <si>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</si>
  <si>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</si>
  <si>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</si>
  <si>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</si>
  <si>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</si>
  <si>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</si>
  <si>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</si>
  <si>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</si>
  <si>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</si>
  <si>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</si>
  <si>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</si>
  <si>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</si>
  <si>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</si>
  <si>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</si>
  <si>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</si>
  <si>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</si>
  <si>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</si>
  <si>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</si>
  <si>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</si>
  <si>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</si>
  <si>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</si>
  <si>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</si>
  <si>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</si>
  <si>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</si>
  <si>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</si>
  <si>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</si>
  <si>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</si>
  <si>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</si>
  <si>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</si>
  <si>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</si>
  <si>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</si>
  <si>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</si>
  <si>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</si>
  <si>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</si>
  <si>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</si>
  <si>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</si>
  <si>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</si>
  <si>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</si>
  <si>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</si>
  <si>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</si>
  <si>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</si>
  <si>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</si>
  <si>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</si>
  <si>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</si>
  <si>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</si>
  <si>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</si>
  <si>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</si>
  <si>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</si>
  <si>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</si>
  <si>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</si>
  <si>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</si>
  <si>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</si>
  <si>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</si>
  <si>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</si>
  <si>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</si>
  <si>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</si>
  <si>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</si>
  <si>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</si>
  <si>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</si>
  <si>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</si>
  <si>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</si>
  <si>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</si>
  <si>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</si>
  <si>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</si>
  <si>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</si>
  <si>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</si>
  <si>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</si>
  <si>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</si>
  <si>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</si>
  <si>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</si>
  <si>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</si>
  <si>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</si>
  <si>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</si>
  <si>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</si>
  <si>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</si>
  <si>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</si>
  <si>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</si>
  <si>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</si>
  <si>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</si>
  <si>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</si>
  <si>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</si>
  <si>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</si>
  <si>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</si>
  <si>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</si>
  <si>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</si>
  <si>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</si>
  <si>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</si>
  <si>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</si>
  <si>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</si>
  <si>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</si>
  <si>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</si>
  <si>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</si>
  <si>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</si>
  <si>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</si>
  <si>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</si>
  <si>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</si>
  <si>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</si>
  <si>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</si>
  <si>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</si>
  <si>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</si>
  <si>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</si>
  <si>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</si>
  <si>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</si>
  <si>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</si>
  <si>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</si>
  <si>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</si>
  <si>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</si>
  <si>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</si>
  <si>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</si>
  <si>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</si>
  <si>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</si>
  <si>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</si>
  <si>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</si>
  <si>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</si>
  <si>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</si>
  <si>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</si>
  <si>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</si>
  <si>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</si>
  <si>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</si>
  <si>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</si>
  <si>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</si>
  <si>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</si>
  <si>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</si>
  <si>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</si>
  <si>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</si>
  <si>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</si>
  <si>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</si>
  <si>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</si>
  <si>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</si>
  <si>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</si>
  <si>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</si>
  <si>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</si>
  <si>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</si>
  <si>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</si>
  <si>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</si>
  <si>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</si>
  <si>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</si>
  <si>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</si>
  <si>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</si>
  <si>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</si>
  <si>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</si>
  <si>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</si>
  <si>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</si>
  <si>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</si>
  <si>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</si>
  <si>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</si>
  <si>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</si>
  <si>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</si>
  <si>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</si>
  <si>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</si>
  <si>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</si>
  <si>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</si>
  <si>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</si>
  <si>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</si>
  <si>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</si>
  <si>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</si>
  <si>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</si>
  <si>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</si>
  <si>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</si>
  <si>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</si>
  <si>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</si>
  <si>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</si>
  <si>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</si>
  <si>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</si>
  <si>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</si>
  <si>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</si>
  <si>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</si>
  <si>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</si>
  <si>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</si>
  <si>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</si>
  <si>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</si>
  <si>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</si>
  <si>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</si>
  <si>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</si>
  <si>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</si>
  <si>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</si>
  <si>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</si>
  <si>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</si>
  <si>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</si>
  <si>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</si>
  <si>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</si>
  <si>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</si>
  <si>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</si>
  <si>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</si>
  <si>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</si>
  <si>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</si>
  <si>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</si>
  <si>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</si>
  <si>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</si>
  <si>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</si>
  <si>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</si>
  <si>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</si>
  <si>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</si>
  <si>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</si>
  <si>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</si>
  <si>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</si>
  <si>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</si>
  <si>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</si>
  <si>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</si>
  <si>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</si>
  <si>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</si>
  <si>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</si>
  <si>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</si>
  <si>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</si>
  <si>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</si>
  <si>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</si>
  <si>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</si>
  <si>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</si>
  <si>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</si>
  <si>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</si>
  <si>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</si>
  <si>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</si>
  <si>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</si>
  <si>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</si>
  <si>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</si>
  <si>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</si>
  <si>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</si>
  <si>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</si>
  <si>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</si>
  <si>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</si>
  <si>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</si>
  <si>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</si>
  <si>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</si>
  <si>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</si>
  <si>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</si>
  <si>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</si>
  <si>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</si>
  <si>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</si>
  <si>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</si>
  <si>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</si>
  <si>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</si>
  <si>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</si>
  <si>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</si>
  <si>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</si>
  <si>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</si>
  <si>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</si>
  <si>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</si>
  <si>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</si>
  <si>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</si>
  <si>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</si>
  <si>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</si>
  <si>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</si>
  <si>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</si>
  <si>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</si>
  <si>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</si>
  <si>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</si>
  <si>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</si>
  <si>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</si>
  <si>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</si>
  <si>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</si>
  <si>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</si>
  <si>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Corrections to endng balances in PY</t>
  </si>
  <si>
    <t>Corrections to ending balances in PY</t>
  </si>
  <si>
    <t>Dover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</si>
</sst>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141</v>
      </c>
      <c r="C2" s="21">
        <v>141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>
        <v>40315.26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f>348950.51+587542.98</f>
        <v>936493.49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140719.54999999999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v>1036.68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39084.019999999997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>
        <v>588921.22</v>
      </c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1157649</v>
      </c>
      <c r="H19" s="41">
        <f>SUM(H9:H18)</f>
        <v>588921.22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669220.25</v>
      </c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>
        <v>838.26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36237.68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706296.19000000006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39084.019999999997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f>325962.46-33491.88+24503.7</f>
        <v>316974.28000000003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78921.82-1937.5-488.98-22177.5-9160.67-7734.77-2740.45-9241.53-8112.36-120321.06+2180.06+34799.46-6225.72-648.02+32882.63-2564.68+325962.46-33491.88+192693.99+120436.82</f>
        <v>563032.12000000011</v>
      </c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>
        <v>95294.51</v>
      </c>
      <c r="H49" s="18">
        <f>1653.7+2849.74+9458.67+2457.43+9283.02+186.54</f>
        <v>25889.100000000002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451352.81000000006</v>
      </c>
      <c r="H51" s="41">
        <f>SUM(H35:H50)</f>
        <v>588921.22000000009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0</v>
      </c>
      <c r="G52" s="41">
        <f>G51+G32</f>
        <v>1157649</v>
      </c>
      <c r="H52" s="41">
        <f>H51+H32</f>
        <v>588921.22000000009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29582715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29582715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22418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6230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>
        <v>115835.23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3662466.8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273385.57</v>
      </c>
      <c r="G69" s="24" t="s">
        <v>289</v>
      </c>
      <c r="H69" s="18">
        <v>157374.04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56192.21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45931.07</v>
      </c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>
        <v>392700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4066623.6499999994</v>
      </c>
      <c r="G79" s="45" t="s">
        <v>289</v>
      </c>
      <c r="H79" s="41">
        <f>SUM(H63:H78)</f>
        <v>665909.27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78307.02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78307.02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751019.65999999992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>
        <v>154551.31</v>
      </c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3419.0099999999998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136792.72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136792.72</v>
      </c>
      <c r="G111" s="41">
        <f>SUM(G96:G110)</f>
        <v>751019.65999999992</v>
      </c>
      <c r="H111" s="41">
        <f>SUM(H96:H110)</f>
        <v>157970.32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33864438.390000001</v>
      </c>
      <c r="G112" s="41">
        <f>G60+G111</f>
        <v>751019.65999999992</v>
      </c>
      <c r="H112" s="41">
        <f>H60+H79+H94+H111</f>
        <v>823879.59000000008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7623199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6789922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14413121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665067.24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256382.46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158580.39000000001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2680.8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22236.57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195776.9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1082710.8899999999</v>
      </c>
      <c r="G136" s="41">
        <f>SUM(G123:G135)</f>
        <v>22236.57</v>
      </c>
      <c r="H136" s="41">
        <f>SUM(H123:H135)</f>
        <v>195776.9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15495831.890000001</v>
      </c>
      <c r="G140" s="41">
        <f>G121+SUM(G136:G137)</f>
        <v>22236.57</v>
      </c>
      <c r="H140" s="41">
        <f>H121+SUM(H136:H139)</f>
        <v>195776.9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5751.43</v>
      </c>
      <c r="G145" s="18"/>
      <c r="H145" s="18">
        <v>62888.33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42891.56</v>
      </c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48642.99</v>
      </c>
      <c r="G147" s="41">
        <f>SUM(G145:G146)</f>
        <v>0</v>
      </c>
      <c r="H147" s="41">
        <f>SUM(H145:H146)</f>
        <v>62888.33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737795.21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327347.42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121755.72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572916.39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697841.9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927340.27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630271.93999999994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94321.29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630271.93999999994</v>
      </c>
      <c r="G162" s="41">
        <f>SUM(G150:G161)</f>
        <v>792163.19000000006</v>
      </c>
      <c r="H162" s="41">
        <f>SUM(H150:H161)</f>
        <v>2687155.01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678914.92999999993</v>
      </c>
      <c r="G169" s="41">
        <f>G147+G162+SUM(G163:G168)</f>
        <v>792163.19000000006</v>
      </c>
      <c r="H169" s="41">
        <f>H147+H162+SUM(H163:H168)</f>
        <v>2750043.34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3919283.71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3919283.71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29737.53</v>
      </c>
      <c r="H179" s="18">
        <v>407280</v>
      </c>
      <c r="I179" s="18">
        <v>75000</v>
      </c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29737.53</v>
      </c>
      <c r="H183" s="41">
        <f>SUM(H179:H182)</f>
        <v>407280</v>
      </c>
      <c r="I183" s="41">
        <f>SUM(I179:I182)</f>
        <v>75000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317712.99</v>
      </c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317712.99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317712.99</v>
      </c>
      <c r="G192" s="41">
        <f>G183+SUM(G188:G191)</f>
        <v>29737.53</v>
      </c>
      <c r="H192" s="41">
        <f>+H183+SUM(H188:H191)</f>
        <v>407280</v>
      </c>
      <c r="I192" s="41">
        <f>I177+I183+SUM(I188:I191)</f>
        <v>3994283.71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50356898.200000003</v>
      </c>
      <c r="G193" s="47">
        <f>G112+G140+G169+G192</f>
        <v>1595156.95</v>
      </c>
      <c r="H193" s="47">
        <f>H112+H140+H169+H192</f>
        <v>4176979.83</v>
      </c>
      <c r="I193" s="47">
        <f>I112+I140+I169+I192</f>
        <v>3994283.71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5214864.26</v>
      </c>
      <c r="G197" s="18">
        <v>2704244.61</v>
      </c>
      <c r="H197" s="18"/>
      <c r="I197" s="18">
        <v>153461.14000000001</v>
      </c>
      <c r="J197" s="18">
        <v>3334.55</v>
      </c>
      <c r="K197" s="18"/>
      <c r="L197" s="19">
        <f>SUM(F197:K197)</f>
        <v>8075904.5599999987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2085318.3900000001</v>
      </c>
      <c r="G198" s="18">
        <v>690687.69</v>
      </c>
      <c r="H198" s="18">
        <v>855182.61999999988</v>
      </c>
      <c r="I198" s="18">
        <v>16882.45</v>
      </c>
      <c r="J198" s="18">
        <v>6091.45</v>
      </c>
      <c r="K198" s="18">
        <v>9868.14</v>
      </c>
      <c r="L198" s="19">
        <f>SUM(F198:K198)</f>
        <v>3664030.7400000007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5325.5</v>
      </c>
      <c r="G200" s="18">
        <v>1372.75</v>
      </c>
      <c r="H200" s="18">
        <v>399.6</v>
      </c>
      <c r="I200" s="18">
        <v>591.11</v>
      </c>
      <c r="J200" s="18"/>
      <c r="K200" s="18"/>
      <c r="L200" s="19">
        <f>SUM(F200:K200)</f>
        <v>7688.96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875720.17</v>
      </c>
      <c r="G202" s="18">
        <v>495444.65</v>
      </c>
      <c r="H202" s="18">
        <v>132468.68</v>
      </c>
      <c r="I202" s="18">
        <v>3560.57</v>
      </c>
      <c r="J202" s="18"/>
      <c r="K202" s="18"/>
      <c r="L202" s="19">
        <f t="shared" ref="L202:L208" si="0">SUM(F202:K202)</f>
        <v>1507194.07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263968.12</v>
      </c>
      <c r="G203" s="18">
        <v>145337.91</v>
      </c>
      <c r="H203" s="18">
        <v>3773.7000000000003</v>
      </c>
      <c r="I203" s="18">
        <v>30457.67</v>
      </c>
      <c r="J203" s="18">
        <v>1757.25</v>
      </c>
      <c r="K203" s="18">
        <v>199.06</v>
      </c>
      <c r="L203" s="19">
        <f t="shared" si="0"/>
        <v>445493.71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206556.3</v>
      </c>
      <c r="G204" s="18">
        <v>102582.93</v>
      </c>
      <c r="H204" s="18">
        <v>168362.1</v>
      </c>
      <c r="I204" s="18">
        <v>10863.93</v>
      </c>
      <c r="J204" s="18">
        <v>859.91</v>
      </c>
      <c r="K204" s="18">
        <v>9519.06</v>
      </c>
      <c r="L204" s="19">
        <f t="shared" si="0"/>
        <v>498744.22999999992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608296.97</v>
      </c>
      <c r="G205" s="18">
        <v>309964.02999999997</v>
      </c>
      <c r="H205" s="18">
        <v>4709.54</v>
      </c>
      <c r="I205" s="18">
        <v>416.12</v>
      </c>
      <c r="J205" s="18"/>
      <c r="K205" s="18">
        <v>1941.3</v>
      </c>
      <c r="L205" s="19">
        <f t="shared" si="0"/>
        <v>925327.96000000008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>
        <v>1085283.6599999999</v>
      </c>
      <c r="I207" s="18">
        <v>284721.09000000008</v>
      </c>
      <c r="J207" s="18"/>
      <c r="K207" s="18"/>
      <c r="L207" s="19">
        <f t="shared" si="0"/>
        <v>1370004.75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3274.5</v>
      </c>
      <c r="G208" s="18">
        <v>466.73</v>
      </c>
      <c r="H208" s="18">
        <v>765566</v>
      </c>
      <c r="I208" s="18"/>
      <c r="J208" s="18"/>
      <c r="K208" s="18"/>
      <c r="L208" s="19">
        <f t="shared" si="0"/>
        <v>769307.23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68130.720000000001</v>
      </c>
      <c r="G209" s="18">
        <v>97035.35</v>
      </c>
      <c r="H209" s="18">
        <v>62092.479999999996</v>
      </c>
      <c r="I209" s="18">
        <v>38355.1</v>
      </c>
      <c r="J209" s="18">
        <v>8894.41</v>
      </c>
      <c r="K209" s="18">
        <v>828.06</v>
      </c>
      <c r="L209" s="19">
        <f>SUM(F209:K209)</f>
        <v>275336.11999999994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9331454.9300000016</v>
      </c>
      <c r="G211" s="41">
        <f t="shared" si="1"/>
        <v>4547136.6500000004</v>
      </c>
      <c r="H211" s="41">
        <f t="shared" si="1"/>
        <v>3077838.38</v>
      </c>
      <c r="I211" s="41">
        <f t="shared" si="1"/>
        <v>539309.18000000005</v>
      </c>
      <c r="J211" s="41">
        <f t="shared" si="1"/>
        <v>20937.57</v>
      </c>
      <c r="K211" s="41">
        <f t="shared" si="1"/>
        <v>22355.62</v>
      </c>
      <c r="L211" s="41">
        <f t="shared" si="1"/>
        <v>17539032.330000002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3485457.81</v>
      </c>
      <c r="G215" s="18">
        <v>1901406.37</v>
      </c>
      <c r="H215" s="18">
        <v>525.79</v>
      </c>
      <c r="I215" s="18">
        <v>184091.03</v>
      </c>
      <c r="J215" s="18">
        <v>6405.98</v>
      </c>
      <c r="K215" s="18"/>
      <c r="L215" s="19">
        <f>SUM(F215:K215)</f>
        <v>5577886.9800000004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1391268.11</v>
      </c>
      <c r="G216" s="18">
        <v>430468.32000000007</v>
      </c>
      <c r="H216" s="18">
        <v>754827.22</v>
      </c>
      <c r="I216" s="18">
        <v>12040.33</v>
      </c>
      <c r="J216" s="18">
        <v>3965.29</v>
      </c>
      <c r="K216" s="18">
        <v>7201.88</v>
      </c>
      <c r="L216" s="19">
        <f>SUM(F216:K216)</f>
        <v>2599771.1500000004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25976.25</v>
      </c>
      <c r="G218" s="18">
        <v>3856.12</v>
      </c>
      <c r="H218" s="18">
        <v>6114.6</v>
      </c>
      <c r="I218" s="18">
        <v>2457.4</v>
      </c>
      <c r="J218" s="18"/>
      <c r="K218" s="18">
        <v>888.5</v>
      </c>
      <c r="L218" s="19">
        <f>SUM(F218:K218)</f>
        <v>39292.870000000003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624037.80999999994</v>
      </c>
      <c r="G220" s="18">
        <v>314224.65000000002</v>
      </c>
      <c r="H220" s="18">
        <v>21011.07</v>
      </c>
      <c r="I220" s="18">
        <v>2280.6999999999998</v>
      </c>
      <c r="J220" s="18"/>
      <c r="K220" s="18"/>
      <c r="L220" s="19">
        <f t="shared" ref="L220:L226" si="2">SUM(F220:K220)</f>
        <v>961554.22999999986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118501.38999999998</v>
      </c>
      <c r="G221" s="18">
        <v>70789.289999999994</v>
      </c>
      <c r="H221" s="18">
        <v>5072.3599999999997</v>
      </c>
      <c r="I221" s="18">
        <v>15177.430000000004</v>
      </c>
      <c r="J221" s="18"/>
      <c r="K221" s="18">
        <v>145.26</v>
      </c>
      <c r="L221" s="19">
        <f t="shared" si="2"/>
        <v>209685.72999999998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150730.26999999999</v>
      </c>
      <c r="G222" s="18">
        <v>74857.820000000007</v>
      </c>
      <c r="H222" s="18">
        <v>122645.45</v>
      </c>
      <c r="I222" s="18">
        <v>7927.7300000000005</v>
      </c>
      <c r="J222" s="18">
        <v>627.5</v>
      </c>
      <c r="K222" s="18">
        <v>6946.33</v>
      </c>
      <c r="L222" s="19">
        <f t="shared" si="2"/>
        <v>363735.1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390912.13</v>
      </c>
      <c r="G223" s="18">
        <v>199687.75</v>
      </c>
      <c r="H223" s="18">
        <v>4123.2800000000007</v>
      </c>
      <c r="I223" s="18">
        <v>1335.58</v>
      </c>
      <c r="J223" s="18"/>
      <c r="K223" s="18">
        <v>3298.07</v>
      </c>
      <c r="L223" s="19">
        <f t="shared" si="2"/>
        <v>599356.80999999994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>
        <v>822853.52</v>
      </c>
      <c r="I225" s="18">
        <v>222526.38</v>
      </c>
      <c r="J225" s="18"/>
      <c r="K225" s="18">
        <v>1279.2</v>
      </c>
      <c r="L225" s="19">
        <f t="shared" si="2"/>
        <v>1046659.1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2389.5</v>
      </c>
      <c r="G226" s="18">
        <v>340.58</v>
      </c>
      <c r="H226" s="18">
        <v>585272.80000000005</v>
      </c>
      <c r="I226" s="18"/>
      <c r="J226" s="18"/>
      <c r="K226" s="18"/>
      <c r="L226" s="19">
        <f t="shared" si="2"/>
        <v>588002.88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93309.590000000011</v>
      </c>
      <c r="G227" s="18">
        <v>71598.51999999999</v>
      </c>
      <c r="H227" s="18">
        <v>47736.55</v>
      </c>
      <c r="I227" s="18">
        <v>27988.86</v>
      </c>
      <c r="J227" s="18">
        <v>6490.51</v>
      </c>
      <c r="K227" s="18">
        <v>604.26</v>
      </c>
      <c r="L227" s="19">
        <f>SUM(F227:K227)</f>
        <v>247728.28999999998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6282582.8599999985</v>
      </c>
      <c r="G229" s="41">
        <f>SUM(G215:G228)</f>
        <v>3067229.4200000004</v>
      </c>
      <c r="H229" s="41">
        <f>SUM(H215:H228)</f>
        <v>2370182.6399999997</v>
      </c>
      <c r="I229" s="41">
        <f>SUM(I215:I228)</f>
        <v>475825.43999999994</v>
      </c>
      <c r="J229" s="41">
        <f>SUM(J215:J228)</f>
        <v>17489.28</v>
      </c>
      <c r="K229" s="41">
        <f t="shared" si="3"/>
        <v>20363.5</v>
      </c>
      <c r="L229" s="41">
        <f t="shared" si="3"/>
        <v>12233673.140000001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4253228.79</v>
      </c>
      <c r="G233" s="18">
        <v>2325015.13</v>
      </c>
      <c r="H233" s="18">
        <v>2348.87</v>
      </c>
      <c r="I233" s="18">
        <v>109337.25000000001</v>
      </c>
      <c r="J233" s="18">
        <v>128.77000000000001</v>
      </c>
      <c r="K233" s="18"/>
      <c r="L233" s="19">
        <f>SUM(F233:K233)</f>
        <v>6690058.8099999996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1176359.28</v>
      </c>
      <c r="G234" s="18">
        <v>407145.82</v>
      </c>
      <c r="H234" s="18">
        <v>531085.15000000014</v>
      </c>
      <c r="I234" s="18">
        <v>13867.77</v>
      </c>
      <c r="J234" s="18">
        <v>4664.3900000000003</v>
      </c>
      <c r="K234" s="18">
        <v>9969.43</v>
      </c>
      <c r="L234" s="19">
        <f>SUM(F234:K234)</f>
        <v>2143091.8400000003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1212034.3500000001</v>
      </c>
      <c r="G235" s="18">
        <v>671787.4</v>
      </c>
      <c r="H235" s="18">
        <v>29854.319999999996</v>
      </c>
      <c r="I235" s="18">
        <v>76225.729999999981</v>
      </c>
      <c r="J235" s="18">
        <v>945</v>
      </c>
      <c r="K235" s="18">
        <v>750</v>
      </c>
      <c r="L235" s="19">
        <f>SUM(F235:K235)</f>
        <v>1991596.8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289880.75</v>
      </c>
      <c r="G236" s="18">
        <v>80857.33</v>
      </c>
      <c r="H236" s="18">
        <v>66615.48000000001</v>
      </c>
      <c r="I236" s="18">
        <v>32391.57</v>
      </c>
      <c r="J236" s="18">
        <v>5460</v>
      </c>
      <c r="K236" s="18">
        <v>38802.32</v>
      </c>
      <c r="L236" s="19">
        <f>SUM(F236:K236)</f>
        <v>514007.45000000007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572696.24999999988</v>
      </c>
      <c r="G238" s="18">
        <v>250386.66999999998</v>
      </c>
      <c r="H238" s="18">
        <v>25367.469999999998</v>
      </c>
      <c r="I238" s="18">
        <v>1778.53</v>
      </c>
      <c r="J238" s="18"/>
      <c r="K238" s="18"/>
      <c r="L238" s="19">
        <f t="shared" ref="L238:L244" si="4">SUM(F238:K238)</f>
        <v>850228.91999999993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173049.60000000003</v>
      </c>
      <c r="G239" s="18">
        <v>66337.849999999991</v>
      </c>
      <c r="H239" s="18">
        <v>10705.18</v>
      </c>
      <c r="I239" s="18">
        <v>18266.170000000002</v>
      </c>
      <c r="J239" s="18"/>
      <c r="K239" s="18">
        <v>193.68</v>
      </c>
      <c r="L239" s="19">
        <f t="shared" si="4"/>
        <v>268552.48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200973.68999999997</v>
      </c>
      <c r="G240" s="18">
        <v>99810.42</v>
      </c>
      <c r="H240" s="18">
        <v>165036.75</v>
      </c>
      <c r="I240" s="18">
        <v>10570.310000000001</v>
      </c>
      <c r="J240" s="18">
        <v>836.67</v>
      </c>
      <c r="K240" s="18">
        <v>9261.7800000000007</v>
      </c>
      <c r="L240" s="19">
        <f t="shared" si="4"/>
        <v>486489.62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590743.05000000005</v>
      </c>
      <c r="G241" s="18">
        <v>271353.13000000006</v>
      </c>
      <c r="H241" s="18">
        <v>5133.07</v>
      </c>
      <c r="I241" s="18">
        <v>12594.080000000002</v>
      </c>
      <c r="J241" s="18"/>
      <c r="K241" s="18">
        <v>5990</v>
      </c>
      <c r="L241" s="19">
        <f t="shared" si="4"/>
        <v>885813.33000000007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>
        <v>1143762.1200000001</v>
      </c>
      <c r="I243" s="18">
        <v>303154.67000000004</v>
      </c>
      <c r="J243" s="18"/>
      <c r="K243" s="18"/>
      <c r="L243" s="19">
        <f t="shared" si="4"/>
        <v>1446916.79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3186</v>
      </c>
      <c r="G244" s="18">
        <v>454.12</v>
      </c>
      <c r="H244" s="18">
        <v>707793.07000000007</v>
      </c>
      <c r="I244" s="18">
        <v>101.8</v>
      </c>
      <c r="J244" s="18"/>
      <c r="K244" s="18"/>
      <c r="L244" s="19">
        <f t="shared" si="4"/>
        <v>711534.99000000011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110549.19</v>
      </c>
      <c r="G245" s="18">
        <v>108798.43999999999</v>
      </c>
      <c r="H245" s="18">
        <v>60329.62</v>
      </c>
      <c r="I245" s="18">
        <v>37318.480000000003</v>
      </c>
      <c r="J245" s="18">
        <v>8654.02</v>
      </c>
      <c r="K245" s="18">
        <v>805.68</v>
      </c>
      <c r="L245" s="19">
        <f>SUM(F245:K245)</f>
        <v>326455.43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8582700.9499999993</v>
      </c>
      <c r="G247" s="41">
        <f t="shared" si="5"/>
        <v>4281946.3099999996</v>
      </c>
      <c r="H247" s="41">
        <f t="shared" si="5"/>
        <v>2748031.1000000006</v>
      </c>
      <c r="I247" s="41">
        <f t="shared" si="5"/>
        <v>615606.3600000001</v>
      </c>
      <c r="J247" s="41">
        <f t="shared" si="5"/>
        <v>20688.849999999999</v>
      </c>
      <c r="K247" s="41">
        <f t="shared" si="5"/>
        <v>65772.89</v>
      </c>
      <c r="L247" s="41">
        <f t="shared" si="5"/>
        <v>16314746.459999999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152856.85</v>
      </c>
      <c r="G251" s="18">
        <v>79986.320000000007</v>
      </c>
      <c r="H251" s="18"/>
      <c r="I251" s="18"/>
      <c r="J251" s="18"/>
      <c r="K251" s="18"/>
      <c r="L251" s="19">
        <f t="shared" si="6"/>
        <v>232843.17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152856.85</v>
      </c>
      <c r="G256" s="41">
        <f t="shared" si="7"/>
        <v>79986.320000000007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232843.17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24349595.59</v>
      </c>
      <c r="G257" s="41">
        <f t="shared" si="8"/>
        <v>11976298.699999999</v>
      </c>
      <c r="H257" s="41">
        <f t="shared" si="8"/>
        <v>8196052.1200000001</v>
      </c>
      <c r="I257" s="41">
        <f t="shared" si="8"/>
        <v>1630740.98</v>
      </c>
      <c r="J257" s="41">
        <f t="shared" si="8"/>
        <v>59115.7</v>
      </c>
      <c r="K257" s="41">
        <f t="shared" si="8"/>
        <v>108492.01</v>
      </c>
      <c r="L257" s="41">
        <f t="shared" si="8"/>
        <v>46320295.100000001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2245585.81</v>
      </c>
      <c r="L260" s="19">
        <f>SUM(F260:K260)</f>
        <v>2245585.81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1446835.04</v>
      </c>
      <c r="L261" s="19">
        <f>SUM(F261:K261)</f>
        <v>1446835.04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29737.53</v>
      </c>
      <c r="L263" s="19">
        <f>SUM(F263:K263)</f>
        <v>29737.53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407280</v>
      </c>
      <c r="L264" s="19">
        <f t="shared" ref="L264:L270" si="9">SUM(F264:K264)</f>
        <v>407280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75000</v>
      </c>
      <c r="L265" s="19">
        <f t="shared" si="9"/>
        <v>75000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4204438.38</v>
      </c>
      <c r="L270" s="41">
        <f t="shared" si="9"/>
        <v>4204438.38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24349595.59</v>
      </c>
      <c r="G271" s="42">
        <f t="shared" si="11"/>
        <v>11976298.699999999</v>
      </c>
      <c r="H271" s="42">
        <f t="shared" si="11"/>
        <v>8196052.1200000001</v>
      </c>
      <c r="I271" s="42">
        <f t="shared" si="11"/>
        <v>1630740.98</v>
      </c>
      <c r="J271" s="42">
        <f t="shared" si="11"/>
        <v>59115.7</v>
      </c>
      <c r="K271" s="42">
        <f t="shared" si="11"/>
        <v>4312930.3899999997</v>
      </c>
      <c r="L271" s="42">
        <f t="shared" si="11"/>
        <v>50524733.480000004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359820.7</v>
      </c>
      <c r="G276" s="18">
        <v>89724.76</v>
      </c>
      <c r="H276" s="18">
        <v>100</v>
      </c>
      <c r="I276" s="18">
        <v>1163.1199999999999</v>
      </c>
      <c r="J276" s="18"/>
      <c r="K276" s="18"/>
      <c r="L276" s="19">
        <f>SUM(F276:K276)</f>
        <v>450808.58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218134.28</v>
      </c>
      <c r="G277" s="18">
        <v>108846.26</v>
      </c>
      <c r="H277" s="18">
        <v>30629.88</v>
      </c>
      <c r="I277" s="18">
        <v>4035.7299999999996</v>
      </c>
      <c r="J277" s="18">
        <v>1455.8899999999999</v>
      </c>
      <c r="K277" s="18"/>
      <c r="L277" s="19">
        <f>SUM(F277:K277)</f>
        <v>363102.04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40693.999999999993</v>
      </c>
      <c r="G281" s="18">
        <v>6776.07</v>
      </c>
      <c r="H281" s="18">
        <v>31690.5</v>
      </c>
      <c r="I281" s="18">
        <v>3530.68</v>
      </c>
      <c r="J281" s="18">
        <v>869.48</v>
      </c>
      <c r="K281" s="18"/>
      <c r="L281" s="19">
        <f t="shared" ref="L281:L287" si="12">SUM(F281:K281)</f>
        <v>83560.729999999981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74924.58</v>
      </c>
      <c r="G282" s="18">
        <v>55276.979999999996</v>
      </c>
      <c r="H282" s="18">
        <v>9306.0400000000009</v>
      </c>
      <c r="I282" s="18">
        <v>26.99</v>
      </c>
      <c r="J282" s="18"/>
      <c r="K282" s="18"/>
      <c r="L282" s="19">
        <f t="shared" si="12"/>
        <v>139534.59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>
        <v>318.02</v>
      </c>
      <c r="I283" s="18">
        <v>566.55999999999995</v>
      </c>
      <c r="J283" s="18"/>
      <c r="K283" s="18"/>
      <c r="L283" s="19">
        <f t="shared" si="12"/>
        <v>884.57999999999993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7902.87</v>
      </c>
      <c r="G284" s="18">
        <v>5063.12</v>
      </c>
      <c r="H284" s="18">
        <v>6.32</v>
      </c>
      <c r="I284" s="18">
        <v>63.63</v>
      </c>
      <c r="J284" s="18"/>
      <c r="K284" s="18"/>
      <c r="L284" s="19">
        <f t="shared" si="12"/>
        <v>13035.939999999999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1688.68</v>
      </c>
      <c r="I287" s="18"/>
      <c r="J287" s="18"/>
      <c r="K287" s="18"/>
      <c r="L287" s="19">
        <f t="shared" si="12"/>
        <v>1688.68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>
        <v>22823.18</v>
      </c>
      <c r="L288" s="19">
        <f>SUM(F288:K288)</f>
        <v>22823.18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701476.42999999993</v>
      </c>
      <c r="G290" s="42">
        <f t="shared" si="13"/>
        <v>265687.19</v>
      </c>
      <c r="H290" s="42">
        <f t="shared" si="13"/>
        <v>73739.440000000017</v>
      </c>
      <c r="I290" s="42">
        <f t="shared" si="13"/>
        <v>9386.7099999999973</v>
      </c>
      <c r="J290" s="42">
        <f t="shared" si="13"/>
        <v>2325.37</v>
      </c>
      <c r="K290" s="42">
        <f t="shared" si="13"/>
        <v>22823.18</v>
      </c>
      <c r="L290" s="41">
        <f t="shared" si="13"/>
        <v>1075438.3199999998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119031.12</v>
      </c>
      <c r="G295" s="18">
        <v>60040.37000000001</v>
      </c>
      <c r="H295" s="18"/>
      <c r="I295" s="18">
        <v>530.62</v>
      </c>
      <c r="J295" s="18"/>
      <c r="K295" s="18"/>
      <c r="L295" s="19">
        <f>SUM(F295:K295)</f>
        <v>179602.11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144409.55000000002</v>
      </c>
      <c r="G296" s="18">
        <v>77161.59</v>
      </c>
      <c r="H296" s="18">
        <v>18004.150000000001</v>
      </c>
      <c r="I296" s="18">
        <v>173.21</v>
      </c>
      <c r="J296" s="18"/>
      <c r="K296" s="18"/>
      <c r="L296" s="19">
        <f>SUM(F296:K296)</f>
        <v>239748.5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43349.61</v>
      </c>
      <c r="G300" s="18">
        <v>5010.95</v>
      </c>
      <c r="H300" s="18">
        <v>23125.5</v>
      </c>
      <c r="I300" s="18">
        <v>2457.08</v>
      </c>
      <c r="J300" s="18">
        <v>634.49</v>
      </c>
      <c r="K300" s="18"/>
      <c r="L300" s="19">
        <f t="shared" ref="L300:L306" si="14">SUM(F300:K300)</f>
        <v>74577.63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56529.45</v>
      </c>
      <c r="G301" s="18">
        <v>40553.460000000006</v>
      </c>
      <c r="H301" s="18">
        <v>3182.73</v>
      </c>
      <c r="I301" s="18"/>
      <c r="J301" s="18"/>
      <c r="K301" s="18"/>
      <c r="L301" s="19">
        <f t="shared" si="14"/>
        <v>100265.64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>
        <v>232.07</v>
      </c>
      <c r="I302" s="18">
        <v>23.11</v>
      </c>
      <c r="J302" s="18"/>
      <c r="K302" s="18"/>
      <c r="L302" s="19">
        <f t="shared" si="14"/>
        <v>255.18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5766.96</v>
      </c>
      <c r="G303" s="18">
        <v>3694.71</v>
      </c>
      <c r="H303" s="18">
        <v>4.6100000000000003</v>
      </c>
      <c r="I303" s="18">
        <v>46.43</v>
      </c>
      <c r="J303" s="18"/>
      <c r="K303" s="18"/>
      <c r="L303" s="19">
        <f t="shared" si="14"/>
        <v>9512.7100000000009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1232.28</v>
      </c>
      <c r="I306" s="18"/>
      <c r="J306" s="18"/>
      <c r="K306" s="18"/>
      <c r="L306" s="19">
        <f t="shared" si="14"/>
        <v>1232.28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>
        <v>16654.75</v>
      </c>
      <c r="L307" s="19">
        <f>SUM(F307:K307)</f>
        <v>16654.75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369086.69000000006</v>
      </c>
      <c r="G309" s="42">
        <f t="shared" si="15"/>
        <v>186461.08000000005</v>
      </c>
      <c r="H309" s="42">
        <f t="shared" si="15"/>
        <v>45781.340000000004</v>
      </c>
      <c r="I309" s="42">
        <f t="shared" si="15"/>
        <v>3230.45</v>
      </c>
      <c r="J309" s="42">
        <f t="shared" si="15"/>
        <v>634.49</v>
      </c>
      <c r="K309" s="42">
        <f t="shared" si="15"/>
        <v>16654.75</v>
      </c>
      <c r="L309" s="41">
        <f t="shared" si="15"/>
        <v>621848.80000000005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8735.23</v>
      </c>
      <c r="G314" s="18">
        <v>1653.95</v>
      </c>
      <c r="H314" s="18"/>
      <c r="I314" s="18">
        <v>671.47</v>
      </c>
      <c r="J314" s="18"/>
      <c r="K314" s="18"/>
      <c r="L314" s="19">
        <f>SUM(F314:K314)</f>
        <v>11060.65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597958.65</v>
      </c>
      <c r="G315" s="18">
        <v>323250.67999999993</v>
      </c>
      <c r="H315" s="18">
        <v>33065.230000000003</v>
      </c>
      <c r="I315" s="18">
        <v>8984.51</v>
      </c>
      <c r="J315" s="18">
        <v>3333.8099999999995</v>
      </c>
      <c r="K315" s="18"/>
      <c r="L315" s="19">
        <f>SUM(F315:K315)</f>
        <v>966592.88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>
        <v>2775.5</v>
      </c>
      <c r="I316" s="18">
        <v>1779.22</v>
      </c>
      <c r="J316" s="18">
        <v>78193.41</v>
      </c>
      <c r="K316" s="18">
        <v>1531</v>
      </c>
      <c r="L316" s="19">
        <f>SUM(F316:K316)</f>
        <v>84279.13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30345.32</v>
      </c>
      <c r="G319" s="18">
        <v>4487.74</v>
      </c>
      <c r="H319" s="18">
        <v>48384</v>
      </c>
      <c r="I319" s="18">
        <v>3276.1000000000004</v>
      </c>
      <c r="J319" s="18">
        <v>845.98</v>
      </c>
      <c r="K319" s="18">
        <v>1485</v>
      </c>
      <c r="L319" s="19">
        <f t="shared" ref="L319:L325" si="16">SUM(F319:K319)</f>
        <v>88824.14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4569.6899999999996</v>
      </c>
      <c r="G320" s="18">
        <v>8861.86</v>
      </c>
      <c r="H320" s="18">
        <v>39381.47</v>
      </c>
      <c r="I320" s="18">
        <v>170</v>
      </c>
      <c r="J320" s="18"/>
      <c r="K320" s="18">
        <v>4058.77</v>
      </c>
      <c r="L320" s="19">
        <f t="shared" si="16"/>
        <v>57041.79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>
        <v>6840</v>
      </c>
      <c r="H321" s="18">
        <v>309.43</v>
      </c>
      <c r="I321" s="18">
        <v>30.81</v>
      </c>
      <c r="J321" s="18"/>
      <c r="K321" s="18"/>
      <c r="L321" s="19">
        <f t="shared" si="16"/>
        <v>7180.2400000000007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7689.28</v>
      </c>
      <c r="G322" s="18">
        <v>4926.28</v>
      </c>
      <c r="H322" s="18">
        <v>6.15</v>
      </c>
      <c r="I322" s="18">
        <v>61.91</v>
      </c>
      <c r="J322" s="18"/>
      <c r="K322" s="18"/>
      <c r="L322" s="19">
        <f t="shared" si="16"/>
        <v>12683.619999999999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1151.46</v>
      </c>
      <c r="I324" s="18">
        <v>12021.75</v>
      </c>
      <c r="J324" s="18"/>
      <c r="K324" s="18"/>
      <c r="L324" s="19">
        <f t="shared" si="16"/>
        <v>13173.21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5808.88</v>
      </c>
      <c r="I325" s="18"/>
      <c r="J325" s="18"/>
      <c r="K325" s="18"/>
      <c r="L325" s="19">
        <f t="shared" si="16"/>
        <v>5808.88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>
        <v>22206.34</v>
      </c>
      <c r="L326" s="19">
        <f>SUM(F326:K326)</f>
        <v>22206.34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649298.16999999993</v>
      </c>
      <c r="G328" s="42">
        <f t="shared" si="17"/>
        <v>350020.50999999995</v>
      </c>
      <c r="H328" s="42">
        <f t="shared" si="17"/>
        <v>130882.12000000001</v>
      </c>
      <c r="I328" s="42">
        <f t="shared" si="17"/>
        <v>26995.769999999997</v>
      </c>
      <c r="J328" s="42">
        <f t="shared" si="17"/>
        <v>82373.2</v>
      </c>
      <c r="K328" s="42">
        <f t="shared" si="17"/>
        <v>29281.11</v>
      </c>
      <c r="L328" s="41">
        <f t="shared" si="17"/>
        <v>1268850.8800000001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62350.520000000004</v>
      </c>
      <c r="G332" s="18">
        <v>20859.18</v>
      </c>
      <c r="H332" s="18">
        <v>54460.500000000007</v>
      </c>
      <c r="I332" s="18">
        <v>5659.23</v>
      </c>
      <c r="J332" s="18">
        <v>45599</v>
      </c>
      <c r="K332" s="18"/>
      <c r="L332" s="19">
        <f t="shared" ref="L332:L337" si="18">SUM(F332:K332)</f>
        <v>188928.43000000002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641527</v>
      </c>
      <c r="G333" s="18">
        <v>99676.700000000012</v>
      </c>
      <c r="H333" s="18">
        <v>87587.299999999988</v>
      </c>
      <c r="I333" s="18">
        <v>36251.01</v>
      </c>
      <c r="J333" s="18"/>
      <c r="K333" s="18">
        <v>19486.509999999998</v>
      </c>
      <c r="L333" s="19">
        <f t="shared" si="18"/>
        <v>884528.52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703877.52</v>
      </c>
      <c r="G337" s="41">
        <f t="shared" si="19"/>
        <v>120535.88</v>
      </c>
      <c r="H337" s="41">
        <f t="shared" si="19"/>
        <v>142047.79999999999</v>
      </c>
      <c r="I337" s="41">
        <f t="shared" si="19"/>
        <v>41910.240000000005</v>
      </c>
      <c r="J337" s="41">
        <f t="shared" si="19"/>
        <v>45599</v>
      </c>
      <c r="K337" s="41">
        <f t="shared" si="19"/>
        <v>19486.509999999998</v>
      </c>
      <c r="L337" s="41">
        <f t="shared" si="18"/>
        <v>1073456.95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2423738.81</v>
      </c>
      <c r="G338" s="41">
        <f t="shared" si="20"/>
        <v>922704.66</v>
      </c>
      <c r="H338" s="41">
        <f t="shared" si="20"/>
        <v>392450.7</v>
      </c>
      <c r="I338" s="41">
        <f t="shared" si="20"/>
        <v>81523.17</v>
      </c>
      <c r="J338" s="41">
        <f t="shared" si="20"/>
        <v>130932.06</v>
      </c>
      <c r="K338" s="41">
        <f t="shared" si="20"/>
        <v>88245.55</v>
      </c>
      <c r="L338" s="41">
        <f t="shared" si="20"/>
        <v>4039594.95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2423738.81</v>
      </c>
      <c r="G352" s="41">
        <f>G338</f>
        <v>922704.66</v>
      </c>
      <c r="H352" s="41">
        <f>H338</f>
        <v>392450.7</v>
      </c>
      <c r="I352" s="41">
        <f>I338</f>
        <v>81523.17</v>
      </c>
      <c r="J352" s="41">
        <f>J338</f>
        <v>130932.06</v>
      </c>
      <c r="K352" s="47">
        <f>K338+K351</f>
        <v>88245.55</v>
      </c>
      <c r="L352" s="41">
        <f>L338+L351</f>
        <v>4039594.95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7474.64</v>
      </c>
      <c r="G358" s="18">
        <v>8011.83</v>
      </c>
      <c r="H358" s="18">
        <v>546870.76</v>
      </c>
      <c r="I358" s="18">
        <v>33376.9</v>
      </c>
      <c r="J358" s="18">
        <v>9953.7800000000007</v>
      </c>
      <c r="K358" s="18"/>
      <c r="L358" s="13">
        <f>SUM(F358:K358)</f>
        <v>605687.91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5454.46</v>
      </c>
      <c r="G359" s="18">
        <v>5846.48</v>
      </c>
      <c r="H359" s="18">
        <v>399067.85</v>
      </c>
      <c r="I359" s="18">
        <v>24356.11</v>
      </c>
      <c r="J359" s="18">
        <v>7263.57</v>
      </c>
      <c r="K359" s="18"/>
      <c r="L359" s="19">
        <f>SUM(F359:K359)</f>
        <v>441988.47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7272.62</v>
      </c>
      <c r="G360" s="18">
        <v>7795.3</v>
      </c>
      <c r="H360" s="18">
        <v>532090.47</v>
      </c>
      <c r="I360" s="18">
        <v>32474.82</v>
      </c>
      <c r="J360" s="18">
        <v>9684.76</v>
      </c>
      <c r="K360" s="18"/>
      <c r="L360" s="19">
        <f>SUM(F360:K360)</f>
        <v>589317.97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20201.72</v>
      </c>
      <c r="G362" s="47">
        <f t="shared" si="22"/>
        <v>21653.61</v>
      </c>
      <c r="H362" s="47">
        <f t="shared" si="22"/>
        <v>1478029.08</v>
      </c>
      <c r="I362" s="47">
        <f t="shared" si="22"/>
        <v>90207.83</v>
      </c>
      <c r="J362" s="47">
        <f t="shared" si="22"/>
        <v>26902.11</v>
      </c>
      <c r="K362" s="47">
        <f t="shared" si="22"/>
        <v>0</v>
      </c>
      <c r="L362" s="47">
        <f t="shared" si="22"/>
        <v>1636994.35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31154.47</v>
      </c>
      <c r="G367" s="18">
        <v>22734.34</v>
      </c>
      <c r="H367" s="18">
        <v>30312.45</v>
      </c>
      <c r="I367" s="56">
        <f>SUM(F367:H367)</f>
        <v>84201.26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2222.4299999999998</v>
      </c>
      <c r="G368" s="63">
        <v>1621.77</v>
      </c>
      <c r="H368" s="63">
        <v>2162.37</v>
      </c>
      <c r="I368" s="56">
        <f>SUM(F368:H368)</f>
        <v>6006.57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33376.9</v>
      </c>
      <c r="G369" s="47">
        <f>SUM(G367:G368)</f>
        <v>24356.11</v>
      </c>
      <c r="H369" s="47">
        <f>SUM(H367:H368)</f>
        <v>32474.82</v>
      </c>
      <c r="I369" s="47">
        <f>SUM(I367:I368)</f>
        <v>90207.829999999987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>
        <v>3319687.06</v>
      </c>
      <c r="I376" s="18"/>
      <c r="J376" s="18"/>
      <c r="K376" s="18"/>
      <c r="L376" s="13">
        <f t="shared" si="23"/>
        <v>3319687.06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>
        <v>96000</v>
      </c>
      <c r="I377" s="18"/>
      <c r="J377" s="18"/>
      <c r="K377" s="18"/>
      <c r="L377" s="13">
        <f t="shared" si="23"/>
        <v>96000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v>494972</v>
      </c>
      <c r="I379" s="18"/>
      <c r="J379" s="18"/>
      <c r="K379" s="18"/>
      <c r="L379" s="13">
        <f t="shared" si="23"/>
        <v>494972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7130.29</v>
      </c>
      <c r="G380" s="18">
        <v>1494.36</v>
      </c>
      <c r="H380" s="18"/>
      <c r="I380" s="18"/>
      <c r="J380" s="18"/>
      <c r="K380" s="18"/>
      <c r="L380" s="13">
        <f t="shared" si="23"/>
        <v>8624.65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7130.29</v>
      </c>
      <c r="G382" s="139">
        <f t="shared" ref="G382:L382" si="24">SUM(G374:G381)</f>
        <v>1494.36</v>
      </c>
      <c r="H382" s="139">
        <f t="shared" si="24"/>
        <v>3910659.06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3919283.71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525827.53</v>
      </c>
      <c r="H465" s="18">
        <v>312910.64</v>
      </c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50356898.200000003</v>
      </c>
      <c r="G468" s="18">
        <v>1595156.95</v>
      </c>
      <c r="H468" s="18">
        <v>4176979.83</v>
      </c>
      <c r="I468" s="18">
        <v>3994283.71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167835.28000000099</v>
      </c>
      <c r="G469" s="18"/>
      <c r="H469" s="18">
        <v>138625.70000000001</v>
      </c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50524733.480000004</v>
      </c>
      <c r="G470" s="53">
        <f>SUM(G468:G469)</f>
        <v>1595156.95</v>
      </c>
      <c r="H470" s="53">
        <f>SUM(H468:H469)</f>
        <v>4315605.53</v>
      </c>
      <c r="I470" s="53">
        <f>SUM(I468:I469)</f>
        <v>3994283.71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50524733.480000004</v>
      </c>
      <c r="G472" s="18">
        <v>1636994.35</v>
      </c>
      <c r="H472" s="18">
        <v>4039594.95</v>
      </c>
      <c r="I472" s="18">
        <v>3919283.71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32637.32</v>
      </c>
      <c r="H473" s="18"/>
      <c r="I473" s="18">
        <v>75000</v>
      </c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50524733.480000004</v>
      </c>
      <c r="G474" s="53">
        <f>SUM(G472:G473)</f>
        <v>1669631.6700000002</v>
      </c>
      <c r="H474" s="53">
        <f>SUM(H472:H473)</f>
        <v>4039594.95</v>
      </c>
      <c r="I474" s="53">
        <f>SUM(I472:I473)</f>
        <v>3994283.71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451352.80999999982</v>
      </c>
      <c r="H476" s="53">
        <f>(H465+H470)- H474</f>
        <v>588921.21999999974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 t="s">
        <v>912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18833607.16</v>
      </c>
      <c r="G495" s="18"/>
      <c r="H495" s="18"/>
      <c r="I495" s="18"/>
      <c r="J495" s="18"/>
      <c r="K495" s="53">
        <f>SUM(F495:J495)</f>
        <v>18833607.16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73900000</v>
      </c>
      <c r="G496" s="18"/>
      <c r="H496" s="18"/>
      <c r="I496" s="18"/>
      <c r="J496" s="18"/>
      <c r="K496" s="53">
        <f t="shared" ref="K496:K503" si="35">SUM(F496:J496)</f>
        <v>73900000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2245585.81</v>
      </c>
      <c r="G497" s="18"/>
      <c r="H497" s="18"/>
      <c r="I497" s="18"/>
      <c r="J497" s="18"/>
      <c r="K497" s="53">
        <f t="shared" si="35"/>
        <v>2245585.81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90488021.349999994</v>
      </c>
      <c r="G498" s="204"/>
      <c r="H498" s="204"/>
      <c r="I498" s="204"/>
      <c r="J498" s="204"/>
      <c r="K498" s="205">
        <f t="shared" si="35"/>
        <v>90488021.349999994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50244655.170000002</v>
      </c>
      <c r="G499" s="18"/>
      <c r="H499" s="18"/>
      <c r="I499" s="18"/>
      <c r="J499" s="18"/>
      <c r="K499" s="53">
        <f t="shared" si="35"/>
        <v>50244655.170000002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140732676.51999998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140732676.51999998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2046065.36</v>
      </c>
      <c r="G501" s="204"/>
      <c r="H501" s="204"/>
      <c r="I501" s="204"/>
      <c r="J501" s="204"/>
      <c r="K501" s="205">
        <f t="shared" si="35"/>
        <v>2046065.36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4543753.57</v>
      </c>
      <c r="G502" s="18"/>
      <c r="H502" s="18"/>
      <c r="I502" s="18"/>
      <c r="J502" s="18"/>
      <c r="K502" s="53">
        <f t="shared" si="35"/>
        <v>4543753.57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6589818.9300000006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6589818.9300000006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>
        <v>119094.11</v>
      </c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2248202.64</v>
      </c>
      <c r="G521" s="18">
        <v>776395.78999999992</v>
      </c>
      <c r="H521" s="18">
        <v>854189.67</v>
      </c>
      <c r="I521" s="18">
        <v>14023.04</v>
      </c>
      <c r="J521" s="18">
        <v>2753.3900000000003</v>
      </c>
      <c r="K521" s="18">
        <v>0</v>
      </c>
      <c r="L521" s="88">
        <f>SUM(F521:K521)</f>
        <v>3895564.5300000003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1495360.0699999998</v>
      </c>
      <c r="G522" s="18">
        <v>490745.31</v>
      </c>
      <c r="H522" s="18">
        <v>749755.25</v>
      </c>
      <c r="I522" s="18">
        <v>7181.9500000000007</v>
      </c>
      <c r="J522" s="18">
        <v>467</v>
      </c>
      <c r="K522" s="18">
        <v>0</v>
      </c>
      <c r="L522" s="88">
        <f>SUM(F522:K522)</f>
        <v>2743509.58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1720561.15</v>
      </c>
      <c r="G523" s="18">
        <v>707883.69</v>
      </c>
      <c r="H523" s="18">
        <v>533382.22</v>
      </c>
      <c r="I523" s="18">
        <v>16143.5</v>
      </c>
      <c r="J523" s="18">
        <v>3333.81</v>
      </c>
      <c r="K523" s="18">
        <v>299.29000000000019</v>
      </c>
      <c r="L523" s="88">
        <f>SUM(F523:K523)</f>
        <v>2981603.6599999997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5464123.8599999994</v>
      </c>
      <c r="G524" s="108">
        <f t="shared" ref="G524:L524" si="36">SUM(G521:G523)</f>
        <v>1975024.7899999998</v>
      </c>
      <c r="H524" s="108">
        <f t="shared" si="36"/>
        <v>2137327.1399999997</v>
      </c>
      <c r="I524" s="108">
        <f t="shared" si="36"/>
        <v>37348.490000000005</v>
      </c>
      <c r="J524" s="108">
        <f t="shared" si="36"/>
        <v>6554.2000000000007</v>
      </c>
      <c r="K524" s="108">
        <f t="shared" si="36"/>
        <v>299.29000000000019</v>
      </c>
      <c r="L524" s="89">
        <f t="shared" si="36"/>
        <v>9620677.7699999996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491472.35</v>
      </c>
      <c r="G526" s="18">
        <v>251636.39</v>
      </c>
      <c r="H526" s="18">
        <v>152687.47</v>
      </c>
      <c r="I526" s="18">
        <v>3530.68</v>
      </c>
      <c r="J526" s="18">
        <v>869.48</v>
      </c>
      <c r="K526" s="18"/>
      <c r="L526" s="88">
        <f>SUM(F526:K526)</f>
        <v>900196.37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231191.21</v>
      </c>
      <c r="G527" s="18">
        <v>83651.039999999994</v>
      </c>
      <c r="H527" s="18">
        <v>36852.54</v>
      </c>
      <c r="I527" s="18">
        <v>2457.08</v>
      </c>
      <c r="J527" s="18">
        <v>634.49</v>
      </c>
      <c r="K527" s="18"/>
      <c r="L527" s="88">
        <f>SUM(F527:K527)</f>
        <v>354786.36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92572.51</v>
      </c>
      <c r="G528" s="18">
        <v>44007.22</v>
      </c>
      <c r="H528" s="18">
        <v>59011.79</v>
      </c>
      <c r="I528" s="18">
        <v>3276.1</v>
      </c>
      <c r="J528" s="18">
        <v>845.98</v>
      </c>
      <c r="K528" s="18">
        <v>1485</v>
      </c>
      <c r="L528" s="88">
        <f>SUM(F528:K528)</f>
        <v>201198.6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815236.07</v>
      </c>
      <c r="G529" s="89">
        <f t="shared" ref="G529:L529" si="37">SUM(G526:G528)</f>
        <v>379294.65</v>
      </c>
      <c r="H529" s="89">
        <f t="shared" si="37"/>
        <v>248551.80000000002</v>
      </c>
      <c r="I529" s="89">
        <f t="shared" si="37"/>
        <v>9263.86</v>
      </c>
      <c r="J529" s="89">
        <f t="shared" si="37"/>
        <v>2349.9499999999998</v>
      </c>
      <c r="K529" s="89">
        <f t="shared" si="37"/>
        <v>1485</v>
      </c>
      <c r="L529" s="89">
        <f t="shared" si="37"/>
        <v>1456181.33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55250.03</v>
      </c>
      <c r="G531" s="18">
        <v>23138.16</v>
      </c>
      <c r="H531" s="18">
        <v>31622.83</v>
      </c>
      <c r="I531" s="18">
        <v>6895.14</v>
      </c>
      <c r="J531" s="18">
        <v>4793.95</v>
      </c>
      <c r="K531" s="18">
        <v>9868.07</v>
      </c>
      <c r="L531" s="88">
        <f>SUM(F531:K531)</f>
        <v>131568.18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40317.589999999997</v>
      </c>
      <c r="G532" s="18">
        <v>16884.599999999999</v>
      </c>
      <c r="H532" s="18">
        <v>23076.12</v>
      </c>
      <c r="I532" s="18">
        <v>5031.59</v>
      </c>
      <c r="J532" s="18">
        <v>3498.29</v>
      </c>
      <c r="K532" s="18">
        <v>7201.88</v>
      </c>
      <c r="L532" s="88">
        <f>SUM(F532:K532)</f>
        <v>96010.069999999992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53756.78</v>
      </c>
      <c r="G533" s="18">
        <v>22512.81</v>
      </c>
      <c r="H533" s="18">
        <v>30768.16</v>
      </c>
      <c r="I533" s="18">
        <v>6708.78</v>
      </c>
      <c r="J533" s="18">
        <v>4664.3900000000003</v>
      </c>
      <c r="K533" s="18">
        <v>9670.2100000000009</v>
      </c>
      <c r="L533" s="88">
        <f>SUM(F533:K533)</f>
        <v>128081.13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149324.4</v>
      </c>
      <c r="G534" s="89">
        <f t="shared" ref="G534:L534" si="38">SUM(G531:G533)</f>
        <v>62535.569999999992</v>
      </c>
      <c r="H534" s="89">
        <f t="shared" si="38"/>
        <v>85467.11</v>
      </c>
      <c r="I534" s="89">
        <f t="shared" si="38"/>
        <v>18635.509999999998</v>
      </c>
      <c r="J534" s="89">
        <f t="shared" si="38"/>
        <v>12956.630000000001</v>
      </c>
      <c r="K534" s="89">
        <f t="shared" si="38"/>
        <v>26740.160000000003</v>
      </c>
      <c r="L534" s="89">
        <f t="shared" si="38"/>
        <v>355659.38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2937.54</v>
      </c>
      <c r="I536" s="18"/>
      <c r="J536" s="18"/>
      <c r="K536" s="18"/>
      <c r="L536" s="88">
        <f>SUM(F536:K536)</f>
        <v>2937.54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6711.13</v>
      </c>
      <c r="I537" s="18"/>
      <c r="J537" s="18"/>
      <c r="K537" s="18"/>
      <c r="L537" s="88">
        <f>SUM(F537:K537)</f>
        <v>6711.13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2858.15</v>
      </c>
      <c r="I538" s="18"/>
      <c r="J538" s="18"/>
      <c r="K538" s="18"/>
      <c r="L538" s="88">
        <f>SUM(F538:K538)</f>
        <v>2858.15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12506.82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12506.82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327507.32</v>
      </c>
      <c r="I541" s="18"/>
      <c r="J541" s="18"/>
      <c r="K541" s="18"/>
      <c r="L541" s="88">
        <f>SUM(F541:K541)</f>
        <v>327507.32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255088.24</v>
      </c>
      <c r="I542" s="18"/>
      <c r="J542" s="18"/>
      <c r="K542" s="18"/>
      <c r="L542" s="88">
        <f>SUM(F542:K542)</f>
        <v>255088.24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123905.75</v>
      </c>
      <c r="I543" s="18"/>
      <c r="J543" s="18"/>
      <c r="K543" s="18"/>
      <c r="L543" s="88">
        <f>SUM(F543:K543)</f>
        <v>123905.75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706501.31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706501.31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6428684.3300000001</v>
      </c>
      <c r="G545" s="89">
        <f t="shared" ref="G545:L545" si="41">G524+G529+G534+G539+G544</f>
        <v>2416855.0099999998</v>
      </c>
      <c r="H545" s="89">
        <f t="shared" si="41"/>
        <v>3190354.1799999992</v>
      </c>
      <c r="I545" s="89">
        <f t="shared" si="41"/>
        <v>65247.86</v>
      </c>
      <c r="J545" s="89">
        <f t="shared" si="41"/>
        <v>21860.780000000002</v>
      </c>
      <c r="K545" s="89">
        <f t="shared" si="41"/>
        <v>28524.450000000004</v>
      </c>
      <c r="L545" s="89">
        <f t="shared" si="41"/>
        <v>12151526.610000001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3895564.5300000003</v>
      </c>
      <c r="G549" s="87">
        <f>L526</f>
        <v>900196.37</v>
      </c>
      <c r="H549" s="87">
        <f>L531</f>
        <v>131568.18</v>
      </c>
      <c r="I549" s="87">
        <f>L536</f>
        <v>2937.54</v>
      </c>
      <c r="J549" s="87">
        <f>L541</f>
        <v>327507.32</v>
      </c>
      <c r="K549" s="87">
        <f>SUM(F549:J549)</f>
        <v>5257773.9400000004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2743509.58</v>
      </c>
      <c r="G550" s="87">
        <f>L527</f>
        <v>354786.36</v>
      </c>
      <c r="H550" s="87">
        <f>L532</f>
        <v>96010.069999999992</v>
      </c>
      <c r="I550" s="87">
        <f>L537</f>
        <v>6711.13</v>
      </c>
      <c r="J550" s="87">
        <f>L542</f>
        <v>255088.24</v>
      </c>
      <c r="K550" s="87">
        <f>SUM(F550:J550)</f>
        <v>3456105.38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2981603.6599999997</v>
      </c>
      <c r="G551" s="87">
        <f>L528</f>
        <v>201198.6</v>
      </c>
      <c r="H551" s="87">
        <f>L533</f>
        <v>128081.13</v>
      </c>
      <c r="I551" s="87">
        <f>L538</f>
        <v>2858.15</v>
      </c>
      <c r="J551" s="87">
        <f>L543</f>
        <v>123905.75</v>
      </c>
      <c r="K551" s="87">
        <f>SUM(F551:J551)</f>
        <v>3437647.2899999996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9620677.7699999996</v>
      </c>
      <c r="G552" s="89">
        <f t="shared" si="42"/>
        <v>1456181.33</v>
      </c>
      <c r="H552" s="89">
        <f t="shared" si="42"/>
        <v>355659.38</v>
      </c>
      <c r="I552" s="89">
        <f t="shared" si="42"/>
        <v>12506.82</v>
      </c>
      <c r="J552" s="89">
        <f t="shared" si="42"/>
        <v>706501.31</v>
      </c>
      <c r="K552" s="89">
        <f t="shared" si="42"/>
        <v>12151526.609999999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24346.400000000001</v>
      </c>
      <c r="G579" s="18"/>
      <c r="H579" s="18">
        <v>3064.22</v>
      </c>
      <c r="I579" s="87">
        <f t="shared" si="47"/>
        <v>27410.620000000003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551710.11</v>
      </c>
      <c r="G582" s="18">
        <v>610228.5</v>
      </c>
      <c r="H582" s="18">
        <v>444304.69</v>
      </c>
      <c r="I582" s="87">
        <f t="shared" si="47"/>
        <v>1606243.2999999998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11515.029999999999</v>
      </c>
      <c r="I584" s="87">
        <f t="shared" si="47"/>
        <v>11515.029999999999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423994.37</v>
      </c>
      <c r="I591" s="18">
        <v>309401.3</v>
      </c>
      <c r="J591" s="18">
        <v>412535.07</v>
      </c>
      <c r="K591" s="104">
        <f t="shared" ref="K591:K597" si="48">SUM(H591:J591)</f>
        <v>1145930.74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327507.32</v>
      </c>
      <c r="I592" s="18">
        <v>265608.34999999998</v>
      </c>
      <c r="J592" s="18">
        <v>123905.75</v>
      </c>
      <c r="K592" s="104">
        <f t="shared" si="48"/>
        <v>717021.41999999993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65530.52</v>
      </c>
      <c r="K593" s="104">
        <f t="shared" si="48"/>
        <v>65530.52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0</v>
      </c>
      <c r="I594" s="18">
        <v>0</v>
      </c>
      <c r="J594" s="18">
        <v>84779.839999999997</v>
      </c>
      <c r="K594" s="104">
        <f t="shared" si="48"/>
        <v>84779.839999999997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7459.5</v>
      </c>
      <c r="K595" s="104">
        <f t="shared" si="48"/>
        <v>7459.5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17805.54</v>
      </c>
      <c r="I597" s="18">
        <v>12993.23</v>
      </c>
      <c r="J597" s="18">
        <v>17324.310000000001</v>
      </c>
      <c r="K597" s="104">
        <f t="shared" si="48"/>
        <v>48123.08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769307.23</v>
      </c>
      <c r="I598" s="108">
        <f>SUM(I591:I597)</f>
        <v>588002.87999999989</v>
      </c>
      <c r="J598" s="108">
        <f>SUM(J591:J597)</f>
        <v>711534.99000000011</v>
      </c>
      <c r="K598" s="108">
        <f>SUM(K591:K597)</f>
        <v>2068845.1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23262.94</v>
      </c>
      <c r="I604" s="18">
        <v>18123.77</v>
      </c>
      <c r="J604" s="18">
        <v>148661.04999999999</v>
      </c>
      <c r="K604" s="104">
        <f>SUM(H604:J604)</f>
        <v>190047.75999999998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23262.94</v>
      </c>
      <c r="I605" s="108">
        <f>SUM(I602:I604)</f>
        <v>18123.77</v>
      </c>
      <c r="J605" s="108">
        <f>SUM(J602:J604)</f>
        <v>148661.04999999999</v>
      </c>
      <c r="K605" s="108">
        <f>SUM(K602:K604)</f>
        <v>190047.75999999998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30903.56</v>
      </c>
      <c r="G611" s="18">
        <v>4584.46</v>
      </c>
      <c r="H611" s="18"/>
      <c r="I611" s="18">
        <v>451.41</v>
      </c>
      <c r="J611" s="18"/>
      <c r="K611" s="18"/>
      <c r="L611" s="88">
        <f>SUM(F611:K611)</f>
        <v>35939.430000000008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20407.669999999998</v>
      </c>
      <c r="G612" s="18">
        <v>2749.81</v>
      </c>
      <c r="H612" s="18"/>
      <c r="I612" s="18"/>
      <c r="J612" s="18"/>
      <c r="K612" s="18"/>
      <c r="L612" s="88">
        <f>SUM(F612:K612)</f>
        <v>23157.48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28622.34</v>
      </c>
      <c r="G613" s="18">
        <v>3992.4900000000002</v>
      </c>
      <c r="H613" s="18"/>
      <c r="I613" s="18"/>
      <c r="J613" s="18"/>
      <c r="K613" s="18"/>
      <c r="L613" s="88">
        <f>SUM(F613:K613)</f>
        <v>32614.83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79933.569999999992</v>
      </c>
      <c r="G614" s="108">
        <f t="shared" si="49"/>
        <v>11326.76</v>
      </c>
      <c r="H614" s="108">
        <f t="shared" si="49"/>
        <v>0</v>
      </c>
      <c r="I614" s="108">
        <f t="shared" si="49"/>
        <v>451.41</v>
      </c>
      <c r="J614" s="108">
        <f t="shared" si="49"/>
        <v>0</v>
      </c>
      <c r="K614" s="108">
        <f t="shared" si="49"/>
        <v>0</v>
      </c>
      <c r="L614" s="89">
        <f t="shared" si="49"/>
        <v>91711.74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0</v>
      </c>
      <c r="H617" s="109">
        <f>SUM(F52)</f>
        <v>0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1157649</v>
      </c>
      <c r="H618" s="109">
        <f>SUM(G52)</f>
        <v>1157649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588921.22</v>
      </c>
      <c r="H619" s="109">
        <f>SUM(H52)</f>
        <v>588921.22000000009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451352.81000000006</v>
      </c>
      <c r="H623" s="109">
        <f>G476</f>
        <v>451352.80999999982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588921.22000000009</v>
      </c>
      <c r="H624" s="109">
        <f>H476</f>
        <v>588921.21999999974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50356898.200000003</v>
      </c>
      <c r="H627" s="104">
        <f>SUM(F468)</f>
        <v>50356898.200000003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1595156.95</v>
      </c>
      <c r="H628" s="104">
        <f>SUM(G468)</f>
        <v>1595156.95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4176979.83</v>
      </c>
      <c r="H629" s="104">
        <f>SUM(H468)</f>
        <v>4176979.83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3994283.71</v>
      </c>
      <c r="H630" s="104">
        <f>SUM(I468)</f>
        <v>3994283.71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50524733.480000004</v>
      </c>
      <c r="H632" s="104">
        <f>SUM(F472)</f>
        <v>50524733.480000004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4039594.95</v>
      </c>
      <c r="H633" s="104">
        <f>SUM(H472)</f>
        <v>4039594.95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90207.83</v>
      </c>
      <c r="H634" s="104">
        <f>I369</f>
        <v>90207.829999999987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1636994.35</v>
      </c>
      <c r="H635" s="104">
        <f>SUM(G472)</f>
        <v>1636994.35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3919283.71</v>
      </c>
      <c r="H636" s="104">
        <f>SUM(I472)</f>
        <v>3919283.71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2068845.1</v>
      </c>
      <c r="H647" s="104">
        <f>L208+L226+L244</f>
        <v>2068845.1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190047.75999999998</v>
      </c>
      <c r="H648" s="104">
        <f>(J257+J338)-(J255+J336)</f>
        <v>190047.76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769307.23</v>
      </c>
      <c r="H649" s="104">
        <f>H598</f>
        <v>769307.23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588002.88</v>
      </c>
      <c r="H650" s="104">
        <f>I598</f>
        <v>588002.87999999989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711534.99000000011</v>
      </c>
      <c r="H651" s="104">
        <f>J598</f>
        <v>711534.99000000011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29737.53</v>
      </c>
      <c r="H652" s="104">
        <f>K263+K345</f>
        <v>29737.53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407280</v>
      </c>
      <c r="H653" s="104">
        <f>K264</f>
        <v>407280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75000</v>
      </c>
      <c r="H654" s="104">
        <f>K265+K346</f>
        <v>75000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19220158.560000002</v>
      </c>
      <c r="G660" s="19">
        <f>(L229+L309+L359)</f>
        <v>13297510.410000002</v>
      </c>
      <c r="H660" s="19">
        <f>(L247+L328+L360)</f>
        <v>18172915.309999999</v>
      </c>
      <c r="I660" s="19">
        <f>SUM(F660:H660)</f>
        <v>50690584.280000001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277877.2744293898</v>
      </c>
      <c r="G661" s="19">
        <f>(L359/IF(SUM(L358:L360)=0,1,SUM(L358:L360))*(SUM(G97:G110)))</f>
        <v>202775.30613549161</v>
      </c>
      <c r="H661" s="19">
        <f>(L360/IF(SUM(L358:L360)=0,1,SUM(L358:L360))*(SUM(G97:G110)))</f>
        <v>270367.07943511847</v>
      </c>
      <c r="I661" s="19">
        <f>SUM(F661:H661)</f>
        <v>751019.65999999992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770995.91</v>
      </c>
      <c r="G662" s="19">
        <f>(L226+L306)-(J226+J306)</f>
        <v>589235.16</v>
      </c>
      <c r="H662" s="19">
        <f>(L244+L325)-(J244+J325)</f>
        <v>717343.87000000011</v>
      </c>
      <c r="I662" s="19">
        <f>SUM(F662:H662)</f>
        <v>2077574.9400000002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635258.88</v>
      </c>
      <c r="G663" s="199">
        <f>SUM(G575:G587)+SUM(I602:I604)+L612</f>
        <v>651509.75</v>
      </c>
      <c r="H663" s="199">
        <f>SUM(H575:H587)+SUM(J602:J604)+L613</f>
        <v>640159.81999999995</v>
      </c>
      <c r="I663" s="19">
        <f>SUM(F663:H663)</f>
        <v>1926928.4499999997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17536026.495570611</v>
      </c>
      <c r="G664" s="19">
        <f>G660-SUM(G661:G663)</f>
        <v>11853990.193864509</v>
      </c>
      <c r="H664" s="19">
        <f>H660-SUM(H661:H663)</f>
        <v>16545044.54056488</v>
      </c>
      <c r="I664" s="19">
        <f>I660-SUM(I661:I663)</f>
        <v>45935061.230000004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1527.41</v>
      </c>
      <c r="G665" s="248">
        <v>1145.3499999999999</v>
      </c>
      <c r="H665" s="248">
        <v>1317.61</v>
      </c>
      <c r="I665" s="19">
        <f>SUM(F665:H665)</f>
        <v>3990.37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11480.89</v>
      </c>
      <c r="G667" s="19">
        <f>ROUND(G664/G665,2)</f>
        <v>10349.67</v>
      </c>
      <c r="H667" s="19">
        <f>ROUND(H664/H665,2)</f>
        <v>12556.86</v>
      </c>
      <c r="I667" s="19">
        <f>ROUND(I664/I665,2)</f>
        <v>11511.48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22.03</v>
      </c>
      <c r="I670" s="19">
        <f>SUM(F670:H670)</f>
        <v>22.03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11480.89</v>
      </c>
      <c r="G672" s="19">
        <f>ROUND((G664+G669)/(G665+G670),2)</f>
        <v>10349.67</v>
      </c>
      <c r="H672" s="19">
        <f>ROUND((H664+H669)/(H665+H670),2)</f>
        <v>12350.37</v>
      </c>
      <c r="I672" s="19">
        <f>ROUND((I664+I669)/(I665+I670),2)</f>
        <v>11448.28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opLeftCell="A7" zoomScale="120" zoomScaleNormal="120" workbookViewId="0">
      <selection activeCell="I20" sqref="I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Dover SD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13441137.909999998</v>
      </c>
      <c r="C9" s="229">
        <f>'DOE25'!G197+'DOE25'!G215+'DOE25'!G233+'DOE25'!G276+'DOE25'!G295+'DOE25'!G314</f>
        <v>7082085.1900000004</v>
      </c>
    </row>
    <row r="10" spans="1:3" x14ac:dyDescent="0.2">
      <c r="A10" t="s">
        <v>779</v>
      </c>
      <c r="B10" s="240">
        <f>20.5+11723068.88+285565.5+4217.32+1412.1+68038+65904.48+459014.82+24264.54</f>
        <v>12631506.140000001</v>
      </c>
      <c r="C10" s="240">
        <f>601.62+6675092.76+21862.76+975.28+326.4+33939.65+1305+841.88+15058.85+1804.04+146495.25+4594.31</f>
        <v>6902897.7999999998</v>
      </c>
    </row>
    <row r="11" spans="1:3" x14ac:dyDescent="0.2">
      <c r="A11" t="s">
        <v>780</v>
      </c>
      <c r="B11" s="240">
        <f>692608.43+475+11004.37+4307.69</f>
        <v>708395.49</v>
      </c>
      <c r="C11" s="240">
        <f>153382.63+32.89+329.52</f>
        <v>153745.04</v>
      </c>
    </row>
    <row r="12" spans="1:3" x14ac:dyDescent="0.2">
      <c r="A12" t="s">
        <v>781</v>
      </c>
      <c r="B12" s="240">
        <f>101236.28</f>
        <v>101236.28</v>
      </c>
      <c r="C12" s="240">
        <v>25442.35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13441137.91</v>
      </c>
      <c r="C13" s="231">
        <f>SUM(C10:C12)</f>
        <v>7082085.1899999995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5613448.2600000007</v>
      </c>
      <c r="C18" s="229">
        <f>'DOE25'!G198+'DOE25'!G216+'DOE25'!G234+'DOE25'!G277+'DOE25'!G296+'DOE25'!G315</f>
        <v>2037560.36</v>
      </c>
    </row>
    <row r="19" spans="1:3" x14ac:dyDescent="0.2">
      <c r="A19" t="s">
        <v>779</v>
      </c>
      <c r="B19" s="240">
        <f>700007.52+244617.79+922695.59+95506.19+42634.2+9102.8+14395.33+1880+32448.69+428069.1+284366+1178</f>
        <v>2776901.21</v>
      </c>
      <c r="C19" s="240">
        <f>410037.13+147342.83+480180.8+45783.59+7496.37+2091.15+1085.48+143.81+15617.56+225710.15+182839.84+271.75</f>
        <v>1518600.4600000002</v>
      </c>
    </row>
    <row r="20" spans="1:3" x14ac:dyDescent="0.2">
      <c r="A20" t="s">
        <v>780</v>
      </c>
      <c r="B20" s="240">
        <f>2211056.89+64291.62+11950+168809+32949.77+7688.32+10674.5+17253.02</f>
        <v>2524673.12</v>
      </c>
      <c r="C20" s="240">
        <f>350514.87+5865.59+921.08+12951.64+2688.12+588.13+875.3+1319.89</f>
        <v>375724.62000000005</v>
      </c>
    </row>
    <row r="21" spans="1:3" x14ac:dyDescent="0.2">
      <c r="A21" t="s">
        <v>781</v>
      </c>
      <c r="B21" s="240">
        <f>109490+38534.4+1000+300+1880+9219.53+57784+75006+18660</f>
        <v>311873.93</v>
      </c>
      <c r="C21" s="240">
        <f>54444.09+7788.58+173.69+22.28+143.8+4552.02+40858.37+30947.7+1427.57+2877.18</f>
        <v>143235.28000000003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5613448.2599999998</v>
      </c>
      <c r="C22" s="231">
        <f>SUM(C19:C21)</f>
        <v>2037560.3600000003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1212034.3500000001</v>
      </c>
      <c r="C27" s="234">
        <f>'DOE25'!G199+'DOE25'!G217+'DOE25'!G235+'DOE25'!G278+'DOE25'!G297+'DOE25'!G316</f>
        <v>671787.4</v>
      </c>
    </row>
    <row r="28" spans="1:3" x14ac:dyDescent="0.2">
      <c r="A28" t="s">
        <v>779</v>
      </c>
      <c r="B28" s="240">
        <f>46657.52+1028660.03+3787</f>
        <v>1079104.55</v>
      </c>
      <c r="C28" s="240">
        <f>3569.4+608085.21+868.15</f>
        <v>612522.76</v>
      </c>
    </row>
    <row r="29" spans="1:3" x14ac:dyDescent="0.2">
      <c r="A29" t="s">
        <v>780</v>
      </c>
      <c r="B29" s="240">
        <f>0</f>
        <v>0</v>
      </c>
      <c r="C29" s="240">
        <v>0</v>
      </c>
    </row>
    <row r="30" spans="1:3" x14ac:dyDescent="0.2">
      <c r="A30" t="s">
        <v>781</v>
      </c>
      <c r="B30" s="240">
        <f>86268+39636.8+1600+450+4975</f>
        <v>132929.79999999999</v>
      </c>
      <c r="C30" s="240">
        <f>31267.42+27287.72+33.81+380.8+294.89</f>
        <v>59264.639999999999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1212034.3500000001</v>
      </c>
      <c r="C31" s="231">
        <f>SUM(C28:C30)</f>
        <v>671787.4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321182.5</v>
      </c>
      <c r="C36" s="235">
        <f>'DOE25'!G200+'DOE25'!G218+'DOE25'!G236+'DOE25'!G279+'DOE25'!G298+'DOE25'!G317</f>
        <v>86086.2</v>
      </c>
    </row>
    <row r="37" spans="1:3" x14ac:dyDescent="0.2">
      <c r="A37" t="s">
        <v>779</v>
      </c>
      <c r="B37" s="240">
        <f>2937.5+28115</f>
        <v>31052.5</v>
      </c>
      <c r="C37" s="240">
        <f>5807.94</f>
        <v>5807.94</v>
      </c>
    </row>
    <row r="38" spans="1:3" x14ac:dyDescent="0.2">
      <c r="A38" t="s">
        <v>780</v>
      </c>
      <c r="B38" s="240">
        <f>2091.5</f>
        <v>2091.5</v>
      </c>
      <c r="C38" s="240">
        <f>194.63</f>
        <v>194.63</v>
      </c>
    </row>
    <row r="39" spans="1:3" x14ac:dyDescent="0.2">
      <c r="A39" t="s">
        <v>781</v>
      </c>
      <c r="B39" s="240">
        <f>2742+102991.2+550+19386.3+475+161594+300</f>
        <v>288038.5</v>
      </c>
      <c r="C39" s="240">
        <f>1110.04+54023.73+126.91+3121.05+89.39+21590.23+22.28</f>
        <v>80083.63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321182.5</v>
      </c>
      <c r="C40" s="231">
        <f>SUM(C37:C39)</f>
        <v>86086.200000000012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K38" sqref="K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Dover SD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31303330.160000004</v>
      </c>
      <c r="D5" s="20">
        <f>SUM('DOE25'!L197:L200)+SUM('DOE25'!L215:L218)+SUM('DOE25'!L233:L236)-F5-G5</f>
        <v>31204854.460000005</v>
      </c>
      <c r="E5" s="243"/>
      <c r="F5" s="255">
        <f>SUM('DOE25'!J197:J200)+SUM('DOE25'!J215:J218)+SUM('DOE25'!J233:J236)</f>
        <v>30995.43</v>
      </c>
      <c r="G5" s="53">
        <f>SUM('DOE25'!K197:K200)+SUM('DOE25'!K215:K218)+SUM('DOE25'!K233:K236)</f>
        <v>67480.27</v>
      </c>
      <c r="H5" s="259"/>
    </row>
    <row r="6" spans="1:9" x14ac:dyDescent="0.2">
      <c r="A6" s="32">
        <v>2100</v>
      </c>
      <c r="B6" t="s">
        <v>801</v>
      </c>
      <c r="C6" s="245">
        <f t="shared" si="0"/>
        <v>3318977.2199999997</v>
      </c>
      <c r="D6" s="20">
        <f>'DOE25'!L202+'DOE25'!L220+'DOE25'!L238-F6-G6</f>
        <v>3318977.2199999997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923731.91999999993</v>
      </c>
      <c r="D7" s="20">
        <f>'DOE25'!L203+'DOE25'!L221+'DOE25'!L239-F7-G7</f>
        <v>921436.66999999993</v>
      </c>
      <c r="E7" s="243"/>
      <c r="F7" s="255">
        <f>'DOE25'!J203+'DOE25'!J221+'DOE25'!J239</f>
        <v>1757.25</v>
      </c>
      <c r="G7" s="53">
        <f>'DOE25'!K203+'DOE25'!K221+'DOE25'!K239</f>
        <v>538</v>
      </c>
      <c r="H7" s="259"/>
    </row>
    <row r="8" spans="1:9" x14ac:dyDescent="0.2">
      <c r="A8" s="32">
        <v>2300</v>
      </c>
      <c r="B8" t="s">
        <v>802</v>
      </c>
      <c r="C8" s="245">
        <f t="shared" si="0"/>
        <v>1050056.0599999996</v>
      </c>
      <c r="D8" s="243"/>
      <c r="E8" s="20">
        <f>'DOE25'!L204+'DOE25'!L222+'DOE25'!L240-F8-G8-D9-D11</f>
        <v>1022004.8099999997</v>
      </c>
      <c r="F8" s="255">
        <f>'DOE25'!J204+'DOE25'!J222+'DOE25'!J240</f>
        <v>2324.08</v>
      </c>
      <c r="G8" s="53">
        <f>'DOE25'!K204+'DOE25'!K222+'DOE25'!K240</f>
        <v>25727.17</v>
      </c>
      <c r="H8" s="259"/>
    </row>
    <row r="9" spans="1:9" x14ac:dyDescent="0.2">
      <c r="A9" s="32">
        <v>2310</v>
      </c>
      <c r="B9" t="s">
        <v>818</v>
      </c>
      <c r="C9" s="245">
        <f t="shared" si="0"/>
        <v>102853.8</v>
      </c>
      <c r="D9" s="244">
        <f>96791.86+6061.94</f>
        <v>102853.8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22243</v>
      </c>
      <c r="D10" s="243"/>
      <c r="E10" s="244">
        <v>22243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196059.09</v>
      </c>
      <c r="D11" s="244">
        <f>133907.08+62152.01</f>
        <v>196059.09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2410498.1</v>
      </c>
      <c r="D12" s="20">
        <f>'DOE25'!L205+'DOE25'!L223+'DOE25'!L241-F12-G12</f>
        <v>2399268.73</v>
      </c>
      <c r="E12" s="243"/>
      <c r="F12" s="255">
        <f>'DOE25'!J205+'DOE25'!J223+'DOE25'!J241</f>
        <v>0</v>
      </c>
      <c r="G12" s="53">
        <f>'DOE25'!K205+'DOE25'!K223+'DOE25'!K241</f>
        <v>11229.369999999999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3863580.64</v>
      </c>
      <c r="D14" s="20">
        <f>'DOE25'!L207+'DOE25'!L225+'DOE25'!L243-F14-G14</f>
        <v>3862301.44</v>
      </c>
      <c r="E14" s="243"/>
      <c r="F14" s="255">
        <f>'DOE25'!J207+'DOE25'!J225+'DOE25'!J243</f>
        <v>0</v>
      </c>
      <c r="G14" s="53">
        <f>'DOE25'!K207+'DOE25'!K225+'DOE25'!K243</f>
        <v>1279.2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2068845.1</v>
      </c>
      <c r="D15" s="20">
        <f>'DOE25'!L208+'DOE25'!L226+'DOE25'!L244-F15-G15</f>
        <v>2068845.1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849519.83999999985</v>
      </c>
      <c r="D16" s="243"/>
      <c r="E16" s="20">
        <f>'DOE25'!L209+'DOE25'!L227+'DOE25'!L245-F16-G16</f>
        <v>823242.89999999991</v>
      </c>
      <c r="F16" s="255">
        <f>'DOE25'!J209+'DOE25'!J227+'DOE25'!J245</f>
        <v>24038.940000000002</v>
      </c>
      <c r="G16" s="53">
        <f>'DOE25'!K209+'DOE25'!K227+'DOE25'!K245</f>
        <v>2238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232843.17</v>
      </c>
      <c r="D17" s="20">
        <f>'DOE25'!L251-F17-G17</f>
        <v>232843.17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3692420.85</v>
      </c>
      <c r="D25" s="243"/>
      <c r="E25" s="243"/>
      <c r="F25" s="258"/>
      <c r="G25" s="256"/>
      <c r="H25" s="257">
        <f>'DOE25'!L260+'DOE25'!L261+'DOE25'!L341+'DOE25'!L342</f>
        <v>3692420.85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1552793.09</v>
      </c>
      <c r="D29" s="20">
        <f>'DOE25'!L358+'DOE25'!L359+'DOE25'!L360-'DOE25'!I367-F29-G29</f>
        <v>1525890.98</v>
      </c>
      <c r="E29" s="243"/>
      <c r="F29" s="255">
        <f>'DOE25'!J358+'DOE25'!J359+'DOE25'!J360</f>
        <v>26902.11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3850666.52</v>
      </c>
      <c r="D31" s="20">
        <f>'DOE25'!L290+'DOE25'!L309+'DOE25'!L328+'DOE25'!L333+'DOE25'!L334+'DOE25'!L335-F31-G31</f>
        <v>3677087.91</v>
      </c>
      <c r="E31" s="243"/>
      <c r="F31" s="255">
        <f>'DOE25'!J290+'DOE25'!J309+'DOE25'!J328+'DOE25'!J333+'DOE25'!J334+'DOE25'!J335</f>
        <v>85333.06</v>
      </c>
      <c r="G31" s="53">
        <f>'DOE25'!K290+'DOE25'!K309+'DOE25'!K328+'DOE25'!K333+'DOE25'!K334+'DOE25'!K335</f>
        <v>88245.55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49510418.570000008</v>
      </c>
      <c r="E33" s="246">
        <f>SUM(E5:E31)</f>
        <v>1867490.7099999995</v>
      </c>
      <c r="F33" s="246">
        <f>SUM(F5:F31)</f>
        <v>171350.87</v>
      </c>
      <c r="G33" s="246">
        <f>SUM(G5:G31)</f>
        <v>196737.56</v>
      </c>
      <c r="H33" s="246">
        <f>SUM(H5:H31)</f>
        <v>3692420.85</v>
      </c>
    </row>
    <row r="35" spans="2:8" ht="12" thickBot="1" x14ac:dyDescent="0.25">
      <c r="B35" s="253" t="s">
        <v>847</v>
      </c>
      <c r="D35" s="254">
        <f>E33</f>
        <v>1867490.7099999995</v>
      </c>
      <c r="E35" s="249"/>
    </row>
    <row r="36" spans="2:8" ht="12" thickTop="1" x14ac:dyDescent="0.2">
      <c r="B36" t="s">
        <v>815</v>
      </c>
      <c r="D36" s="20">
        <f>D33</f>
        <v>49510418.570000008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110" zoomScaleNormal="110" workbookViewId="0">
      <pane ySplit="2" topLeftCell="A3" activePane="bottomLeft" state="frozen"/>
      <selection activeCell="F46" sqref="F46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Dover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40315.26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936493.49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140719.54999999999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1036.68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39084.019999999997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588921.22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1157649</v>
      </c>
      <c r="E18" s="41">
        <f>SUM(E8:E17)</f>
        <v>588921.22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669220.25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838.26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36237.68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706296.19000000006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39084.019999999997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316974.28000000003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563032.12000000011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95294.51</v>
      </c>
      <c r="E48" s="95">
        <f>'DOE25'!H49</f>
        <v>25889.100000000002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451352.81000000006</v>
      </c>
      <c r="E50" s="41">
        <f>SUM(E34:E49)</f>
        <v>588921.22000000009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0</v>
      </c>
      <c r="D51" s="41">
        <f>D50+D31</f>
        <v>1157649</v>
      </c>
      <c r="E51" s="41">
        <f>E50+E31</f>
        <v>588921.22000000009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29582715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4066623.6499999994</v>
      </c>
      <c r="D57" s="24" t="s">
        <v>289</v>
      </c>
      <c r="E57" s="95">
        <f>'DOE25'!H79</f>
        <v>665909.27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78307.02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751019.65999999992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136792.72</v>
      </c>
      <c r="D61" s="95">
        <f>SUM('DOE25'!G98:G110)</f>
        <v>0</v>
      </c>
      <c r="E61" s="95">
        <f>SUM('DOE25'!H98:H110)</f>
        <v>157970.32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4281723.3899999997</v>
      </c>
      <c r="D62" s="130">
        <f>SUM(D57:D61)</f>
        <v>751019.65999999992</v>
      </c>
      <c r="E62" s="130">
        <f>SUM(E57:E61)</f>
        <v>823879.59000000008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33864438.390000001</v>
      </c>
      <c r="D63" s="22">
        <f>D56+D62</f>
        <v>751019.65999999992</v>
      </c>
      <c r="E63" s="22">
        <f>E56+E62</f>
        <v>823879.59000000008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7623199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6789922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14413121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665067.24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256382.46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161261.19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22236.57</v>
      </c>
      <c r="E77" s="95">
        <f>SUM('DOE25'!H131:H135)</f>
        <v>195776.9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1082710.8899999999</v>
      </c>
      <c r="D78" s="130">
        <f>SUM(D72:D77)</f>
        <v>22236.57</v>
      </c>
      <c r="E78" s="130">
        <f>SUM(E72:E77)</f>
        <v>195776.9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15495831.890000001</v>
      </c>
      <c r="D81" s="130">
        <f>SUM(D79:D80)+D78+D70</f>
        <v>22236.57</v>
      </c>
      <c r="E81" s="130">
        <f>SUM(E79:E80)+E78+E70</f>
        <v>195776.9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48642.99</v>
      </c>
      <c r="D85" s="95">
        <f>'DOE25'!G147</f>
        <v>0</v>
      </c>
      <c r="E85" s="95">
        <f>'DOE25'!H147</f>
        <v>62888.33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630271.93999999994</v>
      </c>
      <c r="D88" s="95">
        <f>SUM('DOE25'!G153:G161)</f>
        <v>792163.19000000006</v>
      </c>
      <c r="E88" s="95">
        <f>SUM('DOE25'!H153:H161)</f>
        <v>2687155.01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678914.92999999993</v>
      </c>
      <c r="D91" s="131">
        <f>SUM(D85:D90)</f>
        <v>792163.19000000006</v>
      </c>
      <c r="E91" s="131">
        <f>SUM(E85:E90)</f>
        <v>2750043.34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3919283.71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29737.53</v>
      </c>
      <c r="E96" s="95">
        <f>'DOE25'!H179</f>
        <v>407280</v>
      </c>
      <c r="F96" s="95">
        <f>'DOE25'!I179</f>
        <v>75000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317712.99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317712.99</v>
      </c>
      <c r="D103" s="86">
        <f>SUM(D93:D102)</f>
        <v>29737.53</v>
      </c>
      <c r="E103" s="86">
        <f>SUM(E93:E102)</f>
        <v>407280</v>
      </c>
      <c r="F103" s="86">
        <f>SUM(F93:F102)</f>
        <v>3994283.71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50356898.200000003</v>
      </c>
      <c r="D104" s="86">
        <f>D63+D81+D91+D103</f>
        <v>1595156.95</v>
      </c>
      <c r="E104" s="86">
        <f>E63+E81+E91+E103</f>
        <v>4176979.83</v>
      </c>
      <c r="F104" s="86">
        <f>F63+F81+F91+F103</f>
        <v>3994283.71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20343850.349999998</v>
      </c>
      <c r="D109" s="24" t="s">
        <v>289</v>
      </c>
      <c r="E109" s="95">
        <f>('DOE25'!L276)+('DOE25'!L295)+('DOE25'!L314)</f>
        <v>641471.34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8406893.7300000004</v>
      </c>
      <c r="D110" s="24" t="s">
        <v>289</v>
      </c>
      <c r="E110" s="95">
        <f>('DOE25'!L277)+('DOE25'!L296)+('DOE25'!L315)</f>
        <v>1569443.42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1991596.8</v>
      </c>
      <c r="D111" s="24" t="s">
        <v>289</v>
      </c>
      <c r="E111" s="95">
        <f>('DOE25'!L278)+('DOE25'!L297)+('DOE25'!L316)</f>
        <v>84279.13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560989.28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188928.43000000002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232843.17</v>
      </c>
      <c r="D114" s="24" t="s">
        <v>289</v>
      </c>
      <c r="E114" s="95">
        <f>+ SUM('DOE25'!L333:L335)</f>
        <v>884528.52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31536173.330000002</v>
      </c>
      <c r="D115" s="86">
        <f>SUM(D109:D114)</f>
        <v>0</v>
      </c>
      <c r="E115" s="86">
        <f>SUM(E109:E114)</f>
        <v>3368650.84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3318977.2199999997</v>
      </c>
      <c r="D118" s="24" t="s">
        <v>289</v>
      </c>
      <c r="E118" s="95">
        <f>+('DOE25'!L281)+('DOE25'!L300)+('DOE25'!L319)</f>
        <v>246962.5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923731.91999999993</v>
      </c>
      <c r="D119" s="24" t="s">
        <v>289</v>
      </c>
      <c r="E119" s="95">
        <f>+('DOE25'!L282)+('DOE25'!L301)+('DOE25'!L320)</f>
        <v>296842.01999999996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1348968.9499999997</v>
      </c>
      <c r="D120" s="24" t="s">
        <v>289</v>
      </c>
      <c r="E120" s="95">
        <f>+('DOE25'!L283)+('DOE25'!L302)+('DOE25'!L321)</f>
        <v>8320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2410498.1</v>
      </c>
      <c r="D121" s="24" t="s">
        <v>289</v>
      </c>
      <c r="E121" s="95">
        <f>+('DOE25'!L284)+('DOE25'!L303)+('DOE25'!L322)</f>
        <v>35232.270000000004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3863580.64</v>
      </c>
      <c r="D123" s="24" t="s">
        <v>289</v>
      </c>
      <c r="E123" s="95">
        <f>+('DOE25'!L286)+('DOE25'!L305)+('DOE25'!L324)</f>
        <v>13173.21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2068845.1</v>
      </c>
      <c r="D124" s="24" t="s">
        <v>289</v>
      </c>
      <c r="E124" s="95">
        <f>+('DOE25'!L287)+('DOE25'!L306)+('DOE25'!L325)</f>
        <v>8729.84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849519.83999999985</v>
      </c>
      <c r="D125" s="24" t="s">
        <v>289</v>
      </c>
      <c r="E125" s="95">
        <f>+('DOE25'!L288)+('DOE25'!L307)+('DOE25'!L326)</f>
        <v>61684.270000000004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1636994.35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14784121.77</v>
      </c>
      <c r="D128" s="86">
        <f>SUM(D118:D127)</f>
        <v>1636994.35</v>
      </c>
      <c r="E128" s="86">
        <f>SUM(E118:E127)</f>
        <v>670944.11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3919283.71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2245585.81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1446835.04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29737.53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407280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75000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4204438.38</v>
      </c>
      <c r="D144" s="141">
        <f>SUM(D130:D143)</f>
        <v>0</v>
      </c>
      <c r="E144" s="141">
        <f>SUM(E130:E143)</f>
        <v>0</v>
      </c>
      <c r="F144" s="141">
        <f>SUM(F130:F143)</f>
        <v>3919283.71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50524733.480000004</v>
      </c>
      <c r="D145" s="86">
        <f>(D115+D128+D144)</f>
        <v>1636994.35</v>
      </c>
      <c r="E145" s="86">
        <f>(E115+E128+E144)</f>
        <v>4039594.9499999997</v>
      </c>
      <c r="F145" s="86">
        <f>(F115+F128+F144)</f>
        <v>3919283.71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18833607.16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18833607.16</v>
      </c>
    </row>
    <row r="157" spans="1:9" x14ac:dyDescent="0.2">
      <c r="A157" s="22" t="s">
        <v>33</v>
      </c>
      <c r="B157" s="137">
        <f>'DOE25'!F496</f>
        <v>73900000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73900000</v>
      </c>
    </row>
    <row r="158" spans="1:9" x14ac:dyDescent="0.2">
      <c r="A158" s="22" t="s">
        <v>34</v>
      </c>
      <c r="B158" s="137">
        <f>'DOE25'!F497</f>
        <v>2245585.81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2245585.81</v>
      </c>
    </row>
    <row r="159" spans="1:9" x14ac:dyDescent="0.2">
      <c r="A159" s="22" t="s">
        <v>35</v>
      </c>
      <c r="B159" s="137">
        <f>'DOE25'!F498</f>
        <v>90488021.349999994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90488021.349999994</v>
      </c>
    </row>
    <row r="160" spans="1:9" x14ac:dyDescent="0.2">
      <c r="A160" s="22" t="s">
        <v>36</v>
      </c>
      <c r="B160" s="137">
        <f>'DOE25'!F499</f>
        <v>50244655.170000002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50244655.170000002</v>
      </c>
    </row>
    <row r="161" spans="1:7" x14ac:dyDescent="0.2">
      <c r="A161" s="22" t="s">
        <v>37</v>
      </c>
      <c r="B161" s="137">
        <f>'DOE25'!F500</f>
        <v>140732676.51999998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140732676.51999998</v>
      </c>
    </row>
    <row r="162" spans="1:7" x14ac:dyDescent="0.2">
      <c r="A162" s="22" t="s">
        <v>38</v>
      </c>
      <c r="B162" s="137">
        <f>'DOE25'!F501</f>
        <v>2046065.36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2046065.36</v>
      </c>
    </row>
    <row r="163" spans="1:7" x14ac:dyDescent="0.2">
      <c r="A163" s="22" t="s">
        <v>39</v>
      </c>
      <c r="B163" s="137">
        <f>'DOE25'!F502</f>
        <v>4543753.57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4543753.57</v>
      </c>
    </row>
    <row r="164" spans="1:7" x14ac:dyDescent="0.2">
      <c r="A164" s="22" t="s">
        <v>246</v>
      </c>
      <c r="B164" s="137">
        <f>'DOE25'!F503</f>
        <v>6589818.9300000006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6589818.9300000006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Dover SD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11481</v>
      </c>
    </row>
    <row r="5" spans="1:4" x14ac:dyDescent="0.2">
      <c r="B5" t="s">
        <v>704</v>
      </c>
      <c r="C5" s="179">
        <f>IF('DOE25'!G665+'DOE25'!G670=0,0,ROUND('DOE25'!G672,0))</f>
        <v>10350</v>
      </c>
    </row>
    <row r="6" spans="1:4" x14ac:dyDescent="0.2">
      <c r="B6" t="s">
        <v>62</v>
      </c>
      <c r="C6" s="179">
        <f>IF('DOE25'!H665+'DOE25'!H670=0,0,ROUND('DOE25'!H672,0))</f>
        <v>12350</v>
      </c>
    </row>
    <row r="7" spans="1:4" x14ac:dyDescent="0.2">
      <c r="B7" t="s">
        <v>705</v>
      </c>
      <c r="C7" s="179">
        <f>IF('DOE25'!I665+'DOE25'!I670=0,0,ROUND('DOE25'!I672,0))</f>
        <v>11448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20985322</v>
      </c>
      <c r="D10" s="182">
        <f>ROUND((C10/$C$28)*100,1)</f>
        <v>39.799999999999997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9976337</v>
      </c>
      <c r="D11" s="182">
        <f>ROUND((C11/$C$28)*100,1)</f>
        <v>18.899999999999999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2075876</v>
      </c>
      <c r="D12" s="182">
        <f>ROUND((C12/$C$28)*100,1)</f>
        <v>3.9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560989</v>
      </c>
      <c r="D13" s="182">
        <f>ROUND((C13/$C$28)*100,1)</f>
        <v>1.1000000000000001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3565940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1220574</v>
      </c>
      <c r="D16" s="182">
        <f t="shared" si="0"/>
        <v>2.2999999999999998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2268493</v>
      </c>
      <c r="D17" s="182">
        <f t="shared" si="0"/>
        <v>4.3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2445730</v>
      </c>
      <c r="D18" s="182">
        <f t="shared" si="0"/>
        <v>4.5999999999999996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3876754</v>
      </c>
      <c r="D20" s="182">
        <f t="shared" si="0"/>
        <v>7.4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2077575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188928</v>
      </c>
      <c r="D23" s="182">
        <f t="shared" si="0"/>
        <v>0.4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1117372</v>
      </c>
      <c r="D24" s="182">
        <f t="shared" si="0"/>
        <v>2.1</v>
      </c>
    </row>
    <row r="25" spans="1:4" x14ac:dyDescent="0.2">
      <c r="A25">
        <v>5120</v>
      </c>
      <c r="B25" t="s">
        <v>720</v>
      </c>
      <c r="C25" s="179">
        <f>ROUND('DOE25'!L261+'DOE25'!L342,0)</f>
        <v>1446835</v>
      </c>
      <c r="D25" s="182">
        <f t="shared" si="0"/>
        <v>2.7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885974.34000000008</v>
      </c>
      <c r="D27" s="182">
        <f t="shared" si="0"/>
        <v>1.7</v>
      </c>
    </row>
    <row r="28" spans="1:4" x14ac:dyDescent="0.2">
      <c r="B28" s="187" t="s">
        <v>723</v>
      </c>
      <c r="C28" s="180">
        <f>SUM(C10:C27)</f>
        <v>52692699.340000004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3919284</v>
      </c>
    </row>
    <row r="30" spans="1:4" x14ac:dyDescent="0.2">
      <c r="B30" s="187" t="s">
        <v>729</v>
      </c>
      <c r="C30" s="180">
        <f>SUM(C28:C29)</f>
        <v>56611983.340000004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2245586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29582715</v>
      </c>
      <c r="D35" s="182">
        <f t="shared" ref="D35:D40" si="1">ROUND((C35/$C$41)*100,1)</f>
        <v>54.2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5105602.9800000042</v>
      </c>
      <c r="D36" s="182">
        <f t="shared" si="1"/>
        <v>9.3000000000000007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14413121</v>
      </c>
      <c r="D37" s="182">
        <f t="shared" si="1"/>
        <v>26.4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1300724</v>
      </c>
      <c r="D38" s="182">
        <f t="shared" si="1"/>
        <v>2.4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4221121</v>
      </c>
      <c r="D39" s="182">
        <f t="shared" si="1"/>
        <v>7.7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54623283.980000004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3919284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Dover SD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2016-11-10T16:24:41Z</cp:lastPrinted>
  <dcterms:created xsi:type="dcterms:W3CDTF">1997-12-04T19:04:30Z</dcterms:created>
  <dcterms:modified xsi:type="dcterms:W3CDTF">2016-11-29T14:39:21Z</dcterms:modified>
</cp:coreProperties>
</file>