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8800" windowHeight="142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10" i="12" l="1"/>
  <c r="B19" i="12" l="1"/>
  <c r="J179" i="1"/>
  <c r="J96" i="1"/>
  <c r="F582" i="1"/>
  <c r="H526" i="1" l="1"/>
  <c r="G526" i="1"/>
  <c r="F526" i="1"/>
  <c r="H528" i="1"/>
  <c r="I526" i="1"/>
  <c r="H523" i="1"/>
  <c r="H522" i="1"/>
  <c r="K521" i="1"/>
  <c r="J521" i="1"/>
  <c r="I521" i="1"/>
  <c r="H521" i="1"/>
  <c r="G521" i="1"/>
  <c r="F521" i="1"/>
  <c r="G459" i="1"/>
  <c r="F459" i="1"/>
  <c r="G441" i="1"/>
  <c r="F441" i="1"/>
  <c r="F22" i="1"/>
  <c r="F29" i="1" l="1"/>
  <c r="H202" i="1"/>
  <c r="G202" i="1"/>
  <c r="F202" i="1"/>
  <c r="H238" i="1"/>
  <c r="I202" i="1"/>
  <c r="K202" i="1"/>
  <c r="H208" i="1" l="1"/>
  <c r="H244" i="1"/>
  <c r="I207" i="1"/>
  <c r="H207" i="1"/>
  <c r="F207" i="1"/>
  <c r="G205" i="1"/>
  <c r="K205" i="1"/>
  <c r="I205" i="1"/>
  <c r="H205" i="1"/>
  <c r="F205" i="1"/>
  <c r="H204" i="1"/>
  <c r="G204" i="1"/>
  <c r="F204" i="1"/>
  <c r="K204" i="1"/>
  <c r="I204" i="1"/>
  <c r="J203" i="1"/>
  <c r="H203" i="1"/>
  <c r="G203" i="1"/>
  <c r="K203" i="1"/>
  <c r="I203" i="1"/>
  <c r="F203" i="1"/>
  <c r="H234" i="1"/>
  <c r="H216" i="1"/>
  <c r="J198" i="1"/>
  <c r="I198" i="1"/>
  <c r="H198" i="1"/>
  <c r="F198" i="1"/>
  <c r="I197" i="1"/>
  <c r="H197" i="1"/>
  <c r="F197" i="1"/>
  <c r="F110" i="1"/>
  <c r="H472" i="1"/>
  <c r="H468" i="1"/>
  <c r="G281" i="1"/>
  <c r="F281" i="1"/>
  <c r="G277" i="1"/>
  <c r="F277" i="1"/>
  <c r="I276" i="1"/>
  <c r="G276" i="1"/>
  <c r="F276" i="1"/>
  <c r="H155" i="1"/>
  <c r="G472" i="1"/>
  <c r="G468" i="1"/>
  <c r="G132" i="1"/>
  <c r="F368" i="1"/>
  <c r="F367" i="1"/>
  <c r="I358" i="1"/>
  <c r="H358" i="1"/>
  <c r="C45" i="2" l="1"/>
  <c r="G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E8" i="13" s="1"/>
  <c r="C8" i="13" s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D7" i="13" s="1"/>
  <c r="C7" i="13" s="1"/>
  <c r="L203" i="1"/>
  <c r="L221" i="1"/>
  <c r="L239" i="1"/>
  <c r="C119" i="2" s="1"/>
  <c r="F12" i="13"/>
  <c r="G12" i="13"/>
  <c r="L205" i="1"/>
  <c r="L223" i="1"/>
  <c r="L241" i="1"/>
  <c r="C121" i="2" s="1"/>
  <c r="F14" i="13"/>
  <c r="G14" i="13"/>
  <c r="L207" i="1"/>
  <c r="L225" i="1"/>
  <c r="C20" i="10" s="1"/>
  <c r="L243" i="1"/>
  <c r="F15" i="13"/>
  <c r="G15" i="13"/>
  <c r="L208" i="1"/>
  <c r="C21" i="10" s="1"/>
  <c r="L226" i="1"/>
  <c r="L244" i="1"/>
  <c r="H662" i="1" s="1"/>
  <c r="F17" i="13"/>
  <c r="G17" i="13"/>
  <c r="D17" i="13" s="1"/>
  <c r="C17" i="13" s="1"/>
  <c r="L251" i="1"/>
  <c r="F18" i="13"/>
  <c r="F19" i="13"/>
  <c r="D19" i="13" s="1"/>
  <c r="C19" i="13" s="1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132" i="2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F169" i="1" s="1"/>
  <c r="G147" i="1"/>
  <c r="G162" i="1"/>
  <c r="H147" i="1"/>
  <c r="H162" i="1"/>
  <c r="I147" i="1"/>
  <c r="I162" i="1"/>
  <c r="I169" i="1" s="1"/>
  <c r="C13" i="10"/>
  <c r="L250" i="1"/>
  <c r="L332" i="1"/>
  <c r="L254" i="1"/>
  <c r="C25" i="10"/>
  <c r="L268" i="1"/>
  <c r="L269" i="1"/>
  <c r="L349" i="1"/>
  <c r="L350" i="1"/>
  <c r="I665" i="1"/>
  <c r="I670" i="1"/>
  <c r="G662" i="1"/>
  <c r="I669" i="1"/>
  <c r="C42" i="10"/>
  <c r="C32" i="10"/>
  <c r="L374" i="1"/>
  <c r="L375" i="1"/>
  <c r="C29" i="10" s="1"/>
  <c r="L376" i="1"/>
  <c r="L377" i="1"/>
  <c r="L378" i="1"/>
  <c r="L379" i="1"/>
  <c r="L380" i="1"/>
  <c r="B2" i="10"/>
  <c r="L344" i="1"/>
  <c r="E134" i="2" s="1"/>
  <c r="L345" i="1"/>
  <c r="L351" i="1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F18" i="2" s="1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E31" i="2" s="1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E111" i="2"/>
  <c r="C112" i="2"/>
  <c r="C113" i="2"/>
  <c r="E113" i="2"/>
  <c r="D115" i="2"/>
  <c r="F115" i="2"/>
  <c r="G115" i="2"/>
  <c r="E119" i="2"/>
  <c r="E120" i="2"/>
  <c r="E123" i="2"/>
  <c r="E124" i="2"/>
  <c r="F128" i="2"/>
  <c r="G128" i="2"/>
  <c r="C130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G32" i="1"/>
  <c r="H32" i="1"/>
  <c r="I32" i="1"/>
  <c r="G52" i="1"/>
  <c r="H618" i="1" s="1"/>
  <c r="H51" i="1"/>
  <c r="H52" i="1" s="1"/>
  <c r="H619" i="1" s="1"/>
  <c r="I51" i="1"/>
  <c r="F177" i="1"/>
  <c r="I177" i="1"/>
  <c r="F183" i="1"/>
  <c r="G183" i="1"/>
  <c r="G192" i="1" s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F290" i="1"/>
  <c r="G290" i="1"/>
  <c r="H290" i="1"/>
  <c r="I290" i="1"/>
  <c r="F309" i="1"/>
  <c r="G309" i="1"/>
  <c r="H309" i="1"/>
  <c r="I309" i="1"/>
  <c r="F328" i="1"/>
  <c r="G328" i="1"/>
  <c r="H328" i="1"/>
  <c r="H338" i="1" s="1"/>
  <c r="H352" i="1" s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G408" i="1" s="1"/>
  <c r="H645" i="1" s="1"/>
  <c r="H407" i="1"/>
  <c r="I407" i="1"/>
  <c r="F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3" i="1" s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F461" i="1" s="1"/>
  <c r="H639" i="1" s="1"/>
  <c r="G452" i="1"/>
  <c r="H452" i="1"/>
  <c r="F460" i="1"/>
  <c r="G460" i="1"/>
  <c r="H460" i="1"/>
  <c r="H461" i="1" s="1"/>
  <c r="H641" i="1" s="1"/>
  <c r="I460" i="1"/>
  <c r="G470" i="1"/>
  <c r="H470" i="1"/>
  <c r="I470" i="1"/>
  <c r="G474" i="1"/>
  <c r="H474" i="1"/>
  <c r="I474" i="1"/>
  <c r="I476" i="1" s="1"/>
  <c r="H625" i="1" s="1"/>
  <c r="J625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5" i="1" s="1"/>
  <c r="L564" i="1"/>
  <c r="F565" i="1"/>
  <c r="G565" i="1"/>
  <c r="H565" i="1"/>
  <c r="H571" i="1" s="1"/>
  <c r="I565" i="1"/>
  <c r="J565" i="1"/>
  <c r="K565" i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0" i="1"/>
  <c r="G623" i="1"/>
  <c r="G625" i="1"/>
  <c r="H628" i="1"/>
  <c r="H629" i="1"/>
  <c r="H630" i="1"/>
  <c r="H633" i="1"/>
  <c r="H635" i="1"/>
  <c r="H636" i="1"/>
  <c r="G639" i="1"/>
  <c r="G641" i="1"/>
  <c r="G643" i="1"/>
  <c r="H643" i="1"/>
  <c r="G644" i="1"/>
  <c r="G645" i="1"/>
  <c r="G650" i="1"/>
  <c r="G652" i="1"/>
  <c r="H652" i="1"/>
  <c r="G653" i="1"/>
  <c r="H653" i="1"/>
  <c r="G654" i="1"/>
  <c r="H654" i="1"/>
  <c r="H655" i="1"/>
  <c r="J655" i="1" s="1"/>
  <c r="D62" i="2"/>
  <c r="D63" i="2" s="1"/>
  <c r="D18" i="2"/>
  <c r="F78" i="2"/>
  <c r="F81" i="2" s="1"/>
  <c r="D31" i="2"/>
  <c r="D50" i="2"/>
  <c r="D91" i="2"/>
  <c r="G62" i="2"/>
  <c r="E78" i="2"/>
  <c r="E81" i="2" s="1"/>
  <c r="D81" i="2"/>
  <c r="H169" i="1"/>
  <c r="G476" i="1"/>
  <c r="H623" i="1" s="1"/>
  <c r="J140" i="1"/>
  <c r="J552" i="1"/>
  <c r="H140" i="1"/>
  <c r="L393" i="1"/>
  <c r="F22" i="13"/>
  <c r="C22" i="13" s="1"/>
  <c r="J545" i="1"/>
  <c r="F552" i="1"/>
  <c r="K551" i="1"/>
  <c r="C138" i="2"/>
  <c r="J645" i="1" l="1"/>
  <c r="K605" i="1"/>
  <c r="G648" i="1" s="1"/>
  <c r="K598" i="1"/>
  <c r="G647" i="1" s="1"/>
  <c r="L570" i="1"/>
  <c r="J571" i="1"/>
  <c r="K571" i="1"/>
  <c r="L560" i="1"/>
  <c r="I571" i="1"/>
  <c r="K550" i="1"/>
  <c r="L544" i="1"/>
  <c r="H552" i="1"/>
  <c r="L534" i="1"/>
  <c r="K545" i="1"/>
  <c r="I545" i="1"/>
  <c r="K549" i="1"/>
  <c r="K552" i="1" s="1"/>
  <c r="L529" i="1"/>
  <c r="G545" i="1"/>
  <c r="H545" i="1"/>
  <c r="K503" i="1"/>
  <c r="G164" i="2"/>
  <c r="G161" i="2"/>
  <c r="G157" i="2"/>
  <c r="G156" i="2"/>
  <c r="H408" i="1"/>
  <c r="H644" i="1" s="1"/>
  <c r="J644" i="1" s="1"/>
  <c r="I408" i="1"/>
  <c r="L401" i="1"/>
  <c r="C139" i="2" s="1"/>
  <c r="J643" i="1"/>
  <c r="J639" i="1"/>
  <c r="J641" i="1"/>
  <c r="I452" i="1"/>
  <c r="I461" i="1" s="1"/>
  <c r="H642" i="1" s="1"/>
  <c r="J642" i="1" s="1"/>
  <c r="G461" i="1"/>
  <c r="H640" i="1" s="1"/>
  <c r="J640" i="1" s="1"/>
  <c r="L419" i="1"/>
  <c r="L427" i="1"/>
  <c r="C18" i="2"/>
  <c r="C26" i="10"/>
  <c r="G651" i="1"/>
  <c r="J651" i="1" s="1"/>
  <c r="C118" i="2"/>
  <c r="C16" i="10"/>
  <c r="C125" i="2"/>
  <c r="C123" i="2"/>
  <c r="J257" i="1"/>
  <c r="J271" i="1" s="1"/>
  <c r="I257" i="1"/>
  <c r="I271" i="1" s="1"/>
  <c r="F257" i="1"/>
  <c r="F271" i="1" s="1"/>
  <c r="C111" i="2"/>
  <c r="L229" i="1"/>
  <c r="E16" i="13"/>
  <c r="C16" i="13" s="1"/>
  <c r="E13" i="13"/>
  <c r="C13" i="13" s="1"/>
  <c r="G649" i="1"/>
  <c r="J649" i="1" s="1"/>
  <c r="D12" i="13"/>
  <c r="C12" i="13" s="1"/>
  <c r="L247" i="1"/>
  <c r="H660" i="1" s="1"/>
  <c r="C120" i="2"/>
  <c r="H25" i="13"/>
  <c r="C25" i="13" s="1"/>
  <c r="H33" i="13"/>
  <c r="D15" i="13"/>
  <c r="C15" i="13" s="1"/>
  <c r="H647" i="1"/>
  <c r="C124" i="2"/>
  <c r="F662" i="1"/>
  <c r="D14" i="13"/>
  <c r="C14" i="13" s="1"/>
  <c r="H257" i="1"/>
  <c r="H271" i="1" s="1"/>
  <c r="D6" i="13"/>
  <c r="C6" i="13" s="1"/>
  <c r="C12" i="10"/>
  <c r="L211" i="1"/>
  <c r="A40" i="12"/>
  <c r="D5" i="13"/>
  <c r="C5" i="13" s="1"/>
  <c r="C110" i="2"/>
  <c r="G257" i="1"/>
  <c r="G271" i="1" s="1"/>
  <c r="F192" i="1"/>
  <c r="C91" i="2"/>
  <c r="C78" i="2"/>
  <c r="C70" i="2"/>
  <c r="C62" i="2"/>
  <c r="C63" i="2" s="1"/>
  <c r="F112" i="1"/>
  <c r="C35" i="10"/>
  <c r="L382" i="1"/>
  <c r="G636" i="1" s="1"/>
  <c r="J636" i="1" s="1"/>
  <c r="I52" i="1"/>
  <c r="H620" i="1" s="1"/>
  <c r="J620" i="1" s="1"/>
  <c r="H476" i="1"/>
  <c r="H624" i="1" s="1"/>
  <c r="E143" i="2"/>
  <c r="L328" i="1"/>
  <c r="C18" i="10"/>
  <c r="C19" i="10"/>
  <c r="E125" i="2"/>
  <c r="C10" i="10"/>
  <c r="K338" i="1"/>
  <c r="K352" i="1" s="1"/>
  <c r="E118" i="2"/>
  <c r="E128" i="2" s="1"/>
  <c r="C17" i="10"/>
  <c r="E121" i="2"/>
  <c r="L309" i="1"/>
  <c r="E122" i="2"/>
  <c r="I662" i="1"/>
  <c r="J338" i="1"/>
  <c r="J352" i="1" s="1"/>
  <c r="E112" i="2"/>
  <c r="G338" i="1"/>
  <c r="G352" i="1" s="1"/>
  <c r="F338" i="1"/>
  <c r="F352" i="1" s="1"/>
  <c r="C11" i="10"/>
  <c r="C15" i="10"/>
  <c r="L290" i="1"/>
  <c r="E109" i="2"/>
  <c r="E115" i="2" s="1"/>
  <c r="E103" i="2"/>
  <c r="H112" i="1"/>
  <c r="E57" i="2"/>
  <c r="E62" i="2" s="1"/>
  <c r="E63" i="2" s="1"/>
  <c r="J623" i="1"/>
  <c r="G112" i="1"/>
  <c r="J634" i="1"/>
  <c r="D29" i="13"/>
  <c r="C29" i="13" s="1"/>
  <c r="D127" i="2"/>
  <c r="D128" i="2" s="1"/>
  <c r="D145" i="2" s="1"/>
  <c r="H661" i="1"/>
  <c r="G661" i="1"/>
  <c r="F661" i="1"/>
  <c r="L362" i="1"/>
  <c r="G635" i="1" s="1"/>
  <c r="J635" i="1" s="1"/>
  <c r="G624" i="1"/>
  <c r="K500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F31" i="2"/>
  <c r="C31" i="2"/>
  <c r="E18" i="2"/>
  <c r="E144" i="2"/>
  <c r="F50" i="2"/>
  <c r="F51" i="2" s="1"/>
  <c r="G31" i="13"/>
  <c r="I338" i="1"/>
  <c r="I352" i="1" s="1"/>
  <c r="J650" i="1"/>
  <c r="L407" i="1"/>
  <c r="C140" i="2" s="1"/>
  <c r="C141" i="2" s="1"/>
  <c r="C144" i="2" s="1"/>
  <c r="L571" i="1"/>
  <c r="I192" i="1"/>
  <c r="E91" i="2"/>
  <c r="D5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G18" i="2" s="1"/>
  <c r="J19" i="1"/>
  <c r="G621" i="1" s="1"/>
  <c r="F545" i="1"/>
  <c r="H434" i="1"/>
  <c r="J619" i="1"/>
  <c r="D103" i="2"/>
  <c r="D104" i="2" s="1"/>
  <c r="I140" i="1"/>
  <c r="I193" i="1" s="1"/>
  <c r="G630" i="1" s="1"/>
  <c r="J630" i="1" s="1"/>
  <c r="A22" i="12"/>
  <c r="G50" i="2"/>
  <c r="J652" i="1"/>
  <c r="G571" i="1"/>
  <c r="I434" i="1"/>
  <c r="G434" i="1"/>
  <c r="I663" i="1"/>
  <c r="C27" i="10"/>
  <c r="J647" i="1" l="1"/>
  <c r="L545" i="1"/>
  <c r="G51" i="2"/>
  <c r="L434" i="1"/>
  <c r="G660" i="1"/>
  <c r="C128" i="2"/>
  <c r="E33" i="13"/>
  <c r="D35" i="13" s="1"/>
  <c r="H664" i="1"/>
  <c r="H672" i="1" s="1"/>
  <c r="C6" i="10" s="1"/>
  <c r="F660" i="1"/>
  <c r="F664" i="1" s="1"/>
  <c r="F672" i="1" s="1"/>
  <c r="C4" i="10" s="1"/>
  <c r="C81" i="2"/>
  <c r="C104" i="2" s="1"/>
  <c r="F193" i="1"/>
  <c r="F468" i="1" s="1"/>
  <c r="C36" i="10"/>
  <c r="F104" i="2"/>
  <c r="J624" i="1"/>
  <c r="E145" i="2"/>
  <c r="H648" i="1"/>
  <c r="J648" i="1" s="1"/>
  <c r="L338" i="1"/>
  <c r="L352" i="1" s="1"/>
  <c r="G633" i="1" s="1"/>
  <c r="J633" i="1" s="1"/>
  <c r="E104" i="2"/>
  <c r="I661" i="1"/>
  <c r="G664" i="1"/>
  <c r="G672" i="1" s="1"/>
  <c r="C5" i="10" s="1"/>
  <c r="L408" i="1"/>
  <c r="J468" i="1" s="1"/>
  <c r="D31" i="13"/>
  <c r="C31" i="13" s="1"/>
  <c r="G104" i="2"/>
  <c r="G631" i="1"/>
  <c r="G193" i="1"/>
  <c r="G628" i="1" s="1"/>
  <c r="J628" i="1" s="1"/>
  <c r="G626" i="1"/>
  <c r="J52" i="1"/>
  <c r="H621" i="1" s="1"/>
  <c r="J621" i="1" s="1"/>
  <c r="C38" i="10"/>
  <c r="G638" i="1" l="1"/>
  <c r="J472" i="1"/>
  <c r="J470" i="1"/>
  <c r="H631" i="1"/>
  <c r="J631" i="1" s="1"/>
  <c r="H637" i="1"/>
  <c r="H667" i="1"/>
  <c r="I660" i="1"/>
  <c r="I664" i="1" s="1"/>
  <c r="I672" i="1" s="1"/>
  <c r="C7" i="10" s="1"/>
  <c r="G627" i="1"/>
  <c r="H627" i="1"/>
  <c r="F470" i="1"/>
  <c r="F667" i="1"/>
  <c r="G667" i="1"/>
  <c r="G637" i="1"/>
  <c r="J637" i="1" s="1"/>
  <c r="H646" i="1"/>
  <c r="J646" i="1" s="1"/>
  <c r="C41" i="10"/>
  <c r="D38" i="10" s="1"/>
  <c r="J474" i="1" l="1"/>
  <c r="J476" i="1" s="1"/>
  <c r="H626" i="1" s="1"/>
  <c r="J626" i="1" s="1"/>
  <c r="H638" i="1"/>
  <c r="J638" i="1" s="1"/>
  <c r="I667" i="1"/>
  <c r="J627" i="1"/>
  <c r="D37" i="10"/>
  <c r="D36" i="10"/>
  <c r="D35" i="10"/>
  <c r="D40" i="10"/>
  <c r="D39" i="10"/>
  <c r="D41" i="10" l="1"/>
  <c r="G18" i="13" l="1"/>
  <c r="G33" i="13"/>
  <c r="K256" i="1"/>
  <c r="K257" i="1" s="1"/>
  <c r="K271" i="1" s="1"/>
  <c r="L256" i="1"/>
  <c r="L257" i="1" s="1"/>
  <c r="L271" i="1" s="1"/>
  <c r="L252" i="1"/>
  <c r="C114" i="2" s="1"/>
  <c r="C115" i="2" s="1"/>
  <c r="C145" i="2" s="1"/>
  <c r="C24" i="10"/>
  <c r="F472" i="1" l="1"/>
  <c r="G632" i="1"/>
  <c r="C28" i="10"/>
  <c r="D18" i="13"/>
  <c r="D22" i="10" l="1"/>
  <c r="D11" i="10"/>
  <c r="D13" i="10"/>
  <c r="D15" i="10"/>
  <c r="D17" i="10"/>
  <c r="D21" i="10"/>
  <c r="D19" i="10"/>
  <c r="D16" i="10"/>
  <c r="D20" i="10"/>
  <c r="D25" i="10"/>
  <c r="D27" i="10"/>
  <c r="D23" i="10"/>
  <c r="D26" i="10"/>
  <c r="C30" i="10"/>
  <c r="D18" i="10"/>
  <c r="D12" i="10"/>
  <c r="D10" i="10"/>
  <c r="D24" i="10"/>
  <c r="C18" i="13"/>
  <c r="D33" i="13"/>
  <c r="D36" i="13" s="1"/>
  <c r="F474" i="1"/>
  <c r="F476" i="1" s="1"/>
  <c r="H632" i="1"/>
  <c r="J632" i="1" s="1"/>
  <c r="H622" i="1" l="1"/>
  <c r="D28" i="10"/>
  <c r="F51" i="1" l="1"/>
  <c r="C49" i="2"/>
  <c r="C50" i="2" s="1"/>
  <c r="C51" i="2" s="1"/>
  <c r="G622" i="1" l="1"/>
  <c r="F52" i="1"/>
  <c r="H617" i="1" s="1"/>
  <c r="J617" i="1" s="1"/>
  <c r="H656" i="1" l="1"/>
  <c r="J622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<sst xmlns="http://schemas.openxmlformats.org/spreadsheetml/2006/main" count="3960" uniqueCount="918">
  <si>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</si>
  <si>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</si>
  <si>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</si>
  <si>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</si>
  <si>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</si>
  <si>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</si>
  <si>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</si>
  <si>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</si>
  <si>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</si>
  <si>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</si>
  <si>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</si>
  <si>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</si>
  <si>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</si>
  <si>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</si>
  <si>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</si>
  <si>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</si>
  <si>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</si>
  <si>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</si>
  <si>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</si>
  <si>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</si>
  <si>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</si>
  <si>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</si>
  <si>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</si>
  <si>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</si>
  <si>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</si>
  <si>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</si>
  <si>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</si>
  <si>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</si>
  <si>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</si>
  <si>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</si>
  <si>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</si>
  <si>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</si>
  <si>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</si>
  <si>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</si>
  <si>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</si>
  <si>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</si>
  <si>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</si>
  <si>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</si>
  <si>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</si>
  <si>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</si>
  <si>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</si>
  <si>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</si>
  <si>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</si>
  <si>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</si>
  <si>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</si>
  <si>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</si>
  <si>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</si>
  <si>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</si>
  <si>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</si>
  <si>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</si>
  <si>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</si>
  <si>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</si>
  <si>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</si>
  <si>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</si>
  <si>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</si>
  <si>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</si>
  <si>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</si>
  <si>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</si>
  <si>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</si>
  <si>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</si>
  <si>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</si>
  <si>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</si>
  <si>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</si>
  <si>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</si>
  <si>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</si>
  <si>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</si>
  <si>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</si>
  <si>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</si>
  <si>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</si>
  <si>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</si>
  <si>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</si>
  <si>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</si>
  <si>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</si>
  <si>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</si>
  <si>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</si>
  <si>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</si>
  <si>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</si>
  <si>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</si>
  <si>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</si>
  <si>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</si>
  <si>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</si>
  <si>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</si>
  <si>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</si>
  <si>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</si>
  <si>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</si>
  <si>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</si>
  <si>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</si>
  <si>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</si>
  <si>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</si>
  <si>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</si>
  <si>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</si>
  <si>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</si>
  <si>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</si>
  <si>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</si>
  <si>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</si>
  <si>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</si>
  <si>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</si>
  <si>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</si>
  <si>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</si>
  <si>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</si>
  <si>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</si>
  <si>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</si>
  <si>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</si>
  <si>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</si>
  <si>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</si>
  <si>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</si>
  <si>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</si>
  <si>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</si>
  <si>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</si>
  <si>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</si>
  <si>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</si>
  <si>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</si>
  <si>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</si>
  <si>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</si>
  <si>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</si>
  <si>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</si>
  <si>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</si>
  <si>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</si>
  <si>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</si>
  <si>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</si>
  <si>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</si>
  <si>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</si>
  <si>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</si>
  <si>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</si>
  <si>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</si>
  <si>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</si>
  <si>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</si>
  <si>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</si>
  <si>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</si>
  <si>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</si>
  <si>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</si>
  <si>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</si>
  <si>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</si>
  <si>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</si>
  <si>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</si>
  <si>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</si>
  <si>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</si>
  <si>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</si>
  <si>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</si>
  <si>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</si>
  <si>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</si>
  <si>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</si>
  <si>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</si>
  <si>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</si>
  <si>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</si>
  <si>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</si>
  <si>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</si>
  <si>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</si>
  <si>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</si>
  <si>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</si>
  <si>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</si>
  <si>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</si>
  <si>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</si>
  <si>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</si>
  <si>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</si>
  <si>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</si>
  <si>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</si>
  <si>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</si>
  <si>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</si>
  <si>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</si>
  <si>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</si>
  <si>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</si>
  <si>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</si>
  <si>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</si>
  <si>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</si>
  <si>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</si>
  <si>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</si>
  <si>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</si>
  <si>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</si>
  <si>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</si>
  <si>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</si>
  <si>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</si>
  <si>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</si>
  <si>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</si>
  <si>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</si>
  <si>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</si>
  <si>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</si>
  <si>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</si>
  <si>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</si>
  <si>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</si>
  <si>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</si>
  <si>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</si>
  <si>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</si>
  <si>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</si>
  <si>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</si>
  <si>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</si>
  <si>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</si>
  <si>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</si>
  <si>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</si>
  <si>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</si>
  <si>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</si>
  <si>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</si>
  <si>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</si>
  <si>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</si>
  <si>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</si>
  <si>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</si>
  <si>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</si>
  <si>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</si>
  <si>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</si>
  <si>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</si>
  <si>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</si>
  <si>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</si>
  <si>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</si>
  <si>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</si>
  <si>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</si>
  <si>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</si>
  <si>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</si>
  <si>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</si>
  <si>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</si>
  <si>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</si>
  <si>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</si>
  <si>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</si>
  <si>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</si>
  <si>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</si>
  <si>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</si>
  <si>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</si>
  <si>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</si>
  <si>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</si>
  <si>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</si>
  <si>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</si>
  <si>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</si>
  <si>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</si>
  <si>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</si>
  <si>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</si>
  <si>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</si>
  <si>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</si>
  <si>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</si>
  <si>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</si>
  <si>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</si>
  <si>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</si>
  <si>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</si>
  <si>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</si>
  <si>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</si>
  <si>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</si>
  <si>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</si>
  <si>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</si>
  <si>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</si>
  <si>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</si>
  <si>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</si>
  <si>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</si>
  <si>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</si>
  <si>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</si>
  <si>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</si>
  <si>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</si>
  <si>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</si>
  <si>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</si>
  <si>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</si>
  <si>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</si>
  <si>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</si>
  <si>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</si>
  <si>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</si>
  <si>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</si>
  <si>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</si>
  <si>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</si>
  <si>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</si>
  <si>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</si>
  <si>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</si>
  <si>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</si>
  <si>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</si>
  <si>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</si>
  <si>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</si>
  <si>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</si>
  <si>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</si>
  <si>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</si>
  <si>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</si>
  <si>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</si>
  <si>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</si>
  <si>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</si>
  <si>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</si>
  <si>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</si>
  <si>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</si>
  <si>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</si>
  <si>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</si>
  <si>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</si>
  <si>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</si>
  <si>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</si>
  <si>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</si>
  <si>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</si>
  <si>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</si>
  <si>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</si>
  <si>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</si>
  <si>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</si>
  <si>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</si>
  <si>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</si>
  <si>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</si>
  <si>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</si>
  <si>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</si>
  <si>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</si>
  <si>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</si>
  <si>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</si>
  <si>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</si>
  <si>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</si>
  <si>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</si>
  <si>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</si>
  <si>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</si>
  <si>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</si>
  <si>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</si>
  <si>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</si>
  <si>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</si>
  <si>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</si>
  <si>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</si>
  <si>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</si>
  <si>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</si>
  <si>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</si>
  <si>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</si>
  <si>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</si>
  <si>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</si>
  <si>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</si>
  <si>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</si>
  <si>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</si>
  <si>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</si>
  <si>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</si>
  <si>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</si>
  <si>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</si>
  <si>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</si>
  <si>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</si>
  <si>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</si>
  <si>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</si>
  <si>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</si>
  <si>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</si>
  <si>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</si>
  <si>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</si>
  <si>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</si>
  <si>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</si>
  <si>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</si>
  <si>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</si>
  <si>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</si>
  <si>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</si>
  <si>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</si>
  <si>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</si>
  <si>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</si>
  <si>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</si>
  <si>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</si>
  <si>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</si>
  <si>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</si>
  <si>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</si>
  <si>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</si>
  <si>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</si>
  <si>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</si>
  <si>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</si>
  <si>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</si>
  <si>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</si>
  <si>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</si>
  <si>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</si>
  <si>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</si>
  <si>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</si>
  <si>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</si>
  <si>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</si>
  <si>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</si>
  <si>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</si>
  <si>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</si>
  <si>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</si>
  <si>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</si>
  <si>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</si>
  <si>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</si>
  <si>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</si>
  <si>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</si>
  <si>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</si>
  <si>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</si>
  <si>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</si>
  <si>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</si>
  <si>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</si>
  <si>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</si>
  <si>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</si>
  <si>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</si>
  <si>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</si>
  <si>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</si>
  <si>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</si>
  <si>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</si>
  <si>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</si>
  <si>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</si>
  <si>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</si>
  <si>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</si>
  <si>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</si>
  <si>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</si>
  <si>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</si>
  <si>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</si>
  <si>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</si>
  <si>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</si>
  <si>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</si>
  <si>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</si>
  <si>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</si>
  <si>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</si>
  <si>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</si>
  <si>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</si>
  <si>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</si>
  <si>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</si>
  <si>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</si>
  <si>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</si>
  <si>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</si>
  <si>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</si>
  <si>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</si>
  <si>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</si>
  <si>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</si>
  <si>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</si>
  <si>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</si>
  <si>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</si>
  <si>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</si>
  <si>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</si>
  <si>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</si>
  <si>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</si>
  <si>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</si>
  <si>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</si>
  <si>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</si>
  <si>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</si>
  <si>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</si>
  <si>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</si>
  <si>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</si>
  <si>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</si>
  <si>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</si>
  <si>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</si>
  <si>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</si>
  <si>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</si>
  <si>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</si>
  <si>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</si>
  <si>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</si>
  <si>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</si>
  <si>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</si>
  <si>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</si>
  <si>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</si>
  <si>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</si>
  <si>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</si>
  <si>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</si>
  <si>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</si>
  <si>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</si>
  <si>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</si>
  <si>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</si>
  <si>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</si>
  <si>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</si>
  <si>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</si>
  <si>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</si>
  <si>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</si>
  <si>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</si>
  <si>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</si>
  <si>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</si>
  <si>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</si>
  <si>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</si>
  <si>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</si>
  <si>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</si>
  <si>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</si>
  <si>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</si>
  <si>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</si>
  <si>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</si>
  <si>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</si>
  <si>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</si>
  <si>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</si>
  <si>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</si>
  <si>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</si>
  <si>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</si>
  <si>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</si>
  <si>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</si>
  <si>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</si>
  <si>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</si>
  <si>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</si>
  <si>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</si>
  <si>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</si>
  <si>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</si>
  <si>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</si>
  <si>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</si>
  <si>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</si>
  <si>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</si>
  <si>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</si>
  <si>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</si>
  <si>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</si>
  <si>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</si>
  <si>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</si>
  <si>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</si>
  <si>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</si>
  <si>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</si>
  <si>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</si>
  <si>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</si>
  <si>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</si>
  <si>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</si>
  <si>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</si>
  <si>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</si>
  <si>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</si>
  <si>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</si>
  <si>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</si>
  <si>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</si>
  <si>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</si>
  <si>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</si>
  <si>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</si>
  <si>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</si>
  <si>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</si>
  <si>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</si>
  <si>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</si>
  <si>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</si>
  <si>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</si>
  <si>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</si>
  <si>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</si>
  <si>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</si>
  <si>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</si>
  <si>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</si>
  <si>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</si>
  <si>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</si>
  <si>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</si>
  <si>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</si>
  <si>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</si>
  <si>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</si>
  <si>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</si>
  <si>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</si>
  <si>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</si>
  <si>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</si>
  <si>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</si>
  <si>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</si>
  <si>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</si>
  <si>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</si>
  <si>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</si>
  <si>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</si>
  <si>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</si>
  <si>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</si>
  <si>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</si>
  <si>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</si>
  <si>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</si>
  <si>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</si>
  <si>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</si>
  <si>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</si>
  <si>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</si>
  <si>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</si>
  <si>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</si>
  <si>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</si>
  <si>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</si>
  <si>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</si>
  <si>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</si>
  <si>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</si>
  <si>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</si>
  <si>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</si>
  <si>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</si>
  <si>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</si>
  <si>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</si>
  <si>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</si>
  <si>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</si>
  <si>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</si>
  <si>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</si>
  <si>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</si>
  <si>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</si>
  <si>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</si>
  <si>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</si>
  <si>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</si>
  <si>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</si>
  <si>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</si>
  <si>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</si>
  <si>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</si>
  <si>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</si>
  <si>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</si>
  <si>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</si>
  <si>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</si>
  <si>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</si>
  <si>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</si>
  <si>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</si>
  <si>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</si>
  <si>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</si>
  <si>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</si>
  <si>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</si>
  <si>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</si>
  <si>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</si>
  <si>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</si>
  <si>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</si>
  <si>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</si>
  <si>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</si>
  <si>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</si>
  <si>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</si>
  <si>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</si>
  <si>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</si>
  <si>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</si>
  <si>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</si>
  <si>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</si>
  <si>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</si>
  <si>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</si>
  <si>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</si>
  <si>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</si>
  <si>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</si>
  <si>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</si>
  <si>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</si>
  <si>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</si>
  <si>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</si>
  <si>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</si>
  <si>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</si>
  <si>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</si>
  <si>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</si>
  <si>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</si>
  <si>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</si>
  <si>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</si>
  <si>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</si>
  <si>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</si>
  <si>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</si>
  <si>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</si>
  <si>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</si>
  <si>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</si>
  <si>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</si>
  <si>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</si>
  <si>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</si>
  <si>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</si>
  <si>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</si>
  <si>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</si>
  <si>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</si>
  <si>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</si>
  <si>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</si>
  <si>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</si>
  <si>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</si>
  <si>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</si>
  <si>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</si>
  <si>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</si>
  <si>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</si>
  <si>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</si>
  <si>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</si>
  <si>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</si>
  <si>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</si>
  <si>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</si>
  <si>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</si>
  <si>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</si>
  <si>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</si>
  <si>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</si>
  <si>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</si>
  <si>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</si>
  <si>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</si>
  <si>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</si>
  <si>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</si>
  <si>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</si>
  <si>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</si>
  <si>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</si>
  <si>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</si>
  <si>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</si>
  <si>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</si>
  <si>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</si>
  <si>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</si>
  <si>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</si>
  <si>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</si>
  <si>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</si>
  <si>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</si>
  <si>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</si>
  <si>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</si>
  <si>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</si>
  <si>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</si>
  <si>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</si>
  <si>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</si>
  <si>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</si>
  <si>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</si>
  <si>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</si>
  <si>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</si>
  <si>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</si>
  <si>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</si>
  <si>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</si>
  <si>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</si>
  <si>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</si>
  <si>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</si>
  <si>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</si>
  <si>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</si>
  <si>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</si>
  <si>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</si>
  <si>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</si>
  <si>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</si>
  <si>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</si>
  <si>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</si>
  <si>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</si>
  <si>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</si>
  <si>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</si>
  <si>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</si>
  <si>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</si>
  <si>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</si>
  <si>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</si>
  <si>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</si>
  <si>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</si>
  <si>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</si>
  <si>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</si>
  <si>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</si>
  <si>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</si>
  <si>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</si>
  <si>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</si>
  <si>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</si>
  <si>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</si>
  <si>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</si>
  <si>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</si>
  <si>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</si>
  <si>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</si>
  <si>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</si>
  <si>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</si>
  <si>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</si>
  <si>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</si>
  <si>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</si>
  <si>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</si>
  <si>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</si>
  <si>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</si>
  <si>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</si>
  <si>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</si>
  <si>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</si>
  <si>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</si>
  <si>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</si>
  <si>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</si>
  <si>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</si>
  <si>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</si>
  <si>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</si>
  <si>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</si>
  <si>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</si>
  <si>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</si>
  <si>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</si>
  <si>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</si>
  <si>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</si>
  <si>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</si>
  <si>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</si>
  <si>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</si>
  <si>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</si>
  <si>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</si>
  <si>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</si>
  <si>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</si>
  <si>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</si>
  <si>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</si>
  <si>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</si>
  <si>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</si>
  <si>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</si>
  <si>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</si>
  <si>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</si>
  <si>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</si>
  <si>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</si>
  <si>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</si>
  <si>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</si>
  <si>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</si>
  <si>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</si>
  <si>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</si>
  <si>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</si>
  <si>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</si>
  <si>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</si>
  <si>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</si>
  <si>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</si>
  <si>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</si>
  <si>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</si>
  <si>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</si>
  <si>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</si>
  <si>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</si>
  <si>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</si>
  <si>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</si>
  <si>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</si>
  <si>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</si>
  <si>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</si>
  <si>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</si>
  <si>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</si>
  <si>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</si>
  <si>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</si>
  <si>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</si>
  <si>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</si>
  <si>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</si>
  <si>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</si>
  <si>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</si>
  <si>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</si>
  <si>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</si>
  <si>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</si>
  <si>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</si>
  <si>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</si>
  <si>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</si>
  <si>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</si>
  <si>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</si>
  <si>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</si>
  <si>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</si>
  <si>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</si>
  <si>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</si>
  <si>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</si>
  <si>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</si>
  <si>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</si>
  <si>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</si>
  <si>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</si>
  <si>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</si>
  <si>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</si>
  <si>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</si>
  <si>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</si>
  <si>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</si>
  <si>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</si>
  <si>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</si>
  <si>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</si>
  <si>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</si>
  <si>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</si>
  <si>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</si>
  <si>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</si>
  <si>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</si>
  <si>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</si>
  <si>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</si>
  <si>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</si>
  <si>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</si>
  <si>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</si>
  <si>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</si>
  <si>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</si>
  <si>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</si>
  <si>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</si>
  <si>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</si>
  <si>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</si>
  <si>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</si>
  <si>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</si>
  <si>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</si>
  <si>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</si>
  <si>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</si>
  <si>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</si>
  <si>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</si>
  <si>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</si>
  <si>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</si>
  <si>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</si>
  <si>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</si>
  <si>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</si>
  <si>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</si>
  <si>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</si>
  <si>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</si>
  <si>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</si>
  <si>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</si>
  <si>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</si>
  <si>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</si>
  <si>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</si>
  <si>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</si>
  <si>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</si>
  <si>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</si>
  <si>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</si>
  <si>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</si>
  <si>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</si>
  <si>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</si>
  <si>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</si>
  <si>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</si>
  <si>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</si>
  <si>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</si>
  <si>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</si>
  <si>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</si>
  <si>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</si>
  <si>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</si>
  <si>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</si>
  <si>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</si>
  <si>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</si>
  <si>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</si>
  <si>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</si>
  <si>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</si>
  <si>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</si>
  <si>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</si>
  <si>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</si>
  <si>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</si>
  <si>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</si>
  <si>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</si>
  <si>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</si>
  <si>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</si>
  <si>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</si>
  <si>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</si>
  <si>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</si>
  <si>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</si>
  <si>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</si>
  <si>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</si>
  <si>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</si>
  <si>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</si>
  <si>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</si>
  <si>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</si>
  <si>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</si>
  <si>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</si>
  <si>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</si>
  <si>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</si>
  <si>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</si>
  <si>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</si>
  <si>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</si>
  <si>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</si>
  <si>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</si>
  <si>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</si>
  <si>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</si>
  <si>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</si>
  <si>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</si>
  <si>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</si>
  <si>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</si>
  <si>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</si>
  <si>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</si>
  <si>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</si>
  <si>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</si>
  <si>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</si>
  <si>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</si>
  <si>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</si>
  <si>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</si>
  <si>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</si>
  <si>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</si>
  <si>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</si>
  <si>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</si>
  <si>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</si>
  <si>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</si>
  <si>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</si>
  <si>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</si>
  <si>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</si>
  <si>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</si>
  <si>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</si>
  <si>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</si>
  <si>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</si>
  <si>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</si>
  <si>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</si>
  <si>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</si>
  <si>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</si>
  <si>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</si>
  <si>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</si>
  <si>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</si>
  <si>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</si>
  <si>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</si>
  <si>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</si>
  <si>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</si>
  <si>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</si>
  <si>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</si>
  <si>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</si>
  <si>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</si>
  <si>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</si>
  <si>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</si>
  <si>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</si>
  <si>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</si>
  <si>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</si>
  <si>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</si>
  <si>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</si>
  <si>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</si>
  <si>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</si>
  <si>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</si>
  <si>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</si>
  <si>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</si>
  <si>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</si>
  <si>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</si>
  <si>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</si>
  <si>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</si>
  <si>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</si>
  <si>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</si>
  <si>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DUNBARTON SCHOOL DISTRICT</t>
  </si>
  <si>
    <t>12/06</t>
  </si>
  <si>
    <t>01/17</t>
  </si>
  <si>
    <t>8 &amp; 9</t>
  </si>
  <si>
    <t>Contracted Services - Special Education Instruction - this is not tuition per the district.  It represents contracted personnel from</t>
  </si>
  <si>
    <t>the Bow School District (Special Educationaides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</si>
</sst>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1" fontId="10" fillId="0" borderId="11" xfId="0" applyNumberFormat="1" applyFont="1" applyBorder="1" applyAlignment="1" applyProtection="1">
      <alignment horizontal="righ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206" activePane="bottomRight" state="frozen"/>
      <selection pane="topRight" activeCell="F1" sqref="F1"/>
      <selection pane="bottomLeft" activeCell="A4" sqref="A4"/>
      <selection pane="bottomRight" activeCell="A204" sqref="A204:XFD204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149</v>
      </c>
      <c r="C2" s="21">
        <v>149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1409142.5</v>
      </c>
      <c r="G9" s="18">
        <v>0</v>
      </c>
      <c r="H9" s="18">
        <v>0</v>
      </c>
      <c r="I9" s="18">
        <v>0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40739.839999999997</v>
      </c>
      <c r="G12" s="18">
        <v>507.31</v>
      </c>
      <c r="H12" s="18">
        <v>0</v>
      </c>
      <c r="I12" s="18">
        <v>0</v>
      </c>
      <c r="J12" s="67">
        <f>SUM(I441)</f>
        <v>142792.56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</v>
      </c>
      <c r="G13" s="18">
        <v>0</v>
      </c>
      <c r="H13" s="18">
        <v>0</v>
      </c>
      <c r="I13" s="18">
        <v>0</v>
      </c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>
        <v>997.04</v>
      </c>
      <c r="H14" s="18">
        <v>41962.1</v>
      </c>
      <c r="I14" s="18">
        <v>0</v>
      </c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4938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1454820.34</v>
      </c>
      <c r="G19" s="41">
        <f>SUM(G9:G18)</f>
        <v>1504.35</v>
      </c>
      <c r="H19" s="41">
        <f>SUM(H9:H18)</f>
        <v>41962.1</v>
      </c>
      <c r="I19" s="41">
        <f>SUM(I9:I18)</f>
        <v>0</v>
      </c>
      <c r="J19" s="41">
        <f>SUM(J9:J18)</f>
        <v>142792.56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507.31+1454820.34-475359.07</f>
        <v>979968.58000000007</v>
      </c>
      <c r="G22" s="18">
        <v>0</v>
      </c>
      <c r="H22" s="18">
        <v>40739.839999999997</v>
      </c>
      <c r="I22" s="18">
        <v>0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131397.21</v>
      </c>
      <c r="G24" s="18">
        <v>1504.35</v>
      </c>
      <c r="H24" s="18">
        <v>1222.26</v>
      </c>
      <c r="I24" s="18">
        <v>0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4965.3999999999996</v>
      </c>
      <c r="G25" s="145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3669.72+700</f>
        <v>4369.7199999999993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0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1120700.9099999999</v>
      </c>
      <c r="G32" s="41">
        <f>SUM(G22:G31)</f>
        <v>1504.35</v>
      </c>
      <c r="H32" s="41">
        <f>SUM(H22:H31)</f>
        <v>41962.1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v>0</v>
      </c>
      <c r="H48" s="18">
        <v>0</v>
      </c>
      <c r="I48" s="18">
        <v>0</v>
      </c>
      <c r="J48" s="13">
        <f>SUM(I459)</f>
        <v>142792.56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333119.4299999997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334119.4299999997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142792.56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1454820.3399999996</v>
      </c>
      <c r="G52" s="41">
        <f>G51+G32</f>
        <v>1504.35</v>
      </c>
      <c r="H52" s="41">
        <f>H51+H32</f>
        <v>41962.1</v>
      </c>
      <c r="I52" s="41">
        <f>I51+I32</f>
        <v>0</v>
      </c>
      <c r="J52" s="41">
        <f>J51+J32</f>
        <v>142792.56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4207217</v>
      </c>
      <c r="G57" s="18">
        <v>0</v>
      </c>
      <c r="H57" s="18">
        <v>0</v>
      </c>
      <c r="I57" s="18">
        <v>0</v>
      </c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>
        <v>0</v>
      </c>
      <c r="H58" s="24" t="s">
        <v>289</v>
      </c>
      <c r="I58" s="18">
        <v>0</v>
      </c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4207217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0</v>
      </c>
      <c r="G66" s="24" t="s">
        <v>289</v>
      </c>
      <c r="H66" s="18">
        <v>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0</v>
      </c>
      <c r="G70" s="24" t="s">
        <v>289</v>
      </c>
      <c r="H70" s="18">
        <v>0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>
        <v>0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>
        <v>0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>
        <v>0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>
        <v>0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>
        <v>0</v>
      </c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108.38</v>
      </c>
      <c r="G96" s="18">
        <v>0</v>
      </c>
      <c r="H96" s="18">
        <v>0</v>
      </c>
      <c r="I96" s="18">
        <v>0</v>
      </c>
      <c r="J96" s="18">
        <f>H401</f>
        <v>527.88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32998.29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0</v>
      </c>
      <c r="G98" s="24" t="s">
        <v>289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>
        <v>0</v>
      </c>
      <c r="H99" s="18">
        <v>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2250</v>
      </c>
      <c r="G101" s="18">
        <v>0</v>
      </c>
      <c r="H101" s="18">
        <v>0</v>
      </c>
      <c r="I101" s="18">
        <v>0</v>
      </c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0</v>
      </c>
      <c r="G103" s="18">
        <v>0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0</v>
      </c>
      <c r="G104" s="24" t="s">
        <v>289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>
        <v>0</v>
      </c>
      <c r="H106" s="18">
        <v>0</v>
      </c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0</v>
      </c>
      <c r="G109" s="18">
        <v>0</v>
      </c>
      <c r="H109" s="18">
        <v>0</v>
      </c>
      <c r="I109" s="18">
        <v>0</v>
      </c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23064.26-2250</f>
        <v>20814.259999999998</v>
      </c>
      <c r="G110" s="18">
        <v>0</v>
      </c>
      <c r="H110" s="18">
        <v>0</v>
      </c>
      <c r="I110" s="18">
        <v>0</v>
      </c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23172.639999999999</v>
      </c>
      <c r="G111" s="41">
        <f>SUM(G96:G110)</f>
        <v>32998.29</v>
      </c>
      <c r="H111" s="41">
        <f>SUM(H96:H110)</f>
        <v>0</v>
      </c>
      <c r="I111" s="41">
        <f>SUM(I96:I110)</f>
        <v>0</v>
      </c>
      <c r="J111" s="41">
        <f>SUM(J96:J110)</f>
        <v>527.88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4230389.6399999997</v>
      </c>
      <c r="G112" s="41">
        <f>G60+G111</f>
        <v>32998.29</v>
      </c>
      <c r="H112" s="41">
        <f>H60+H79+H94+H111</f>
        <v>0</v>
      </c>
      <c r="I112" s="41">
        <f>I60+I111</f>
        <v>0</v>
      </c>
      <c r="J112" s="41">
        <f>J60+J111</f>
        <v>527.88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680737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664872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0</v>
      </c>
      <c r="G120" s="18">
        <v>0</v>
      </c>
      <c r="H120" s="18">
        <v>0</v>
      </c>
      <c r="I120" s="18">
        <v>0</v>
      </c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1345609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16672.05</v>
      </c>
      <c r="G123" s="24" t="s">
        <v>289</v>
      </c>
      <c r="H123" s="24" t="s">
        <v>289</v>
      </c>
      <c r="I123" s="18">
        <v>0</v>
      </c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10061.85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>
        <v>0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f>631.49+2011.42</f>
        <v>2642.91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>
        <v>0</v>
      </c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26733.9</v>
      </c>
      <c r="G136" s="41">
        <f>SUM(G123:G135)</f>
        <v>2642.91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0</v>
      </c>
      <c r="G137" s="18"/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0</v>
      </c>
      <c r="G138" s="24" t="s">
        <v>289</v>
      </c>
      <c r="H138" s="18">
        <v>0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1372342.9</v>
      </c>
      <c r="G140" s="41">
        <f>G121+SUM(G136:G137)</f>
        <v>2642.91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>
        <v>0</v>
      </c>
      <c r="I152" s="18">
        <v>0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23702.28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1861.6+739.92+14686</f>
        <v>17287.52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>
        <v>0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13820.27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>
        <v>52644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59129.9</v>
      </c>
      <c r="G160" s="24" t="s">
        <v>289</v>
      </c>
      <c r="H160" s="18">
        <v>0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59129.9</v>
      </c>
      <c r="G162" s="41">
        <f>SUM(G150:G161)</f>
        <v>13820.27</v>
      </c>
      <c r="H162" s="41">
        <f>SUM(H150:H161)</f>
        <v>93633.8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>
        <v>0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0</v>
      </c>
      <c r="G168" s="18">
        <v>0</v>
      </c>
      <c r="H168" s="18">
        <v>0</v>
      </c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59129.9</v>
      </c>
      <c r="G169" s="41">
        <f>G147+G162+SUM(G163:G168)</f>
        <v>13820.27</v>
      </c>
      <c r="H169" s="41">
        <f>H147+H162+SUM(H163:H168)</f>
        <v>93633.8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>
        <v>0</v>
      </c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16461.52</v>
      </c>
      <c r="H179" s="18">
        <v>0</v>
      </c>
      <c r="I179" s="18">
        <v>0</v>
      </c>
      <c r="J179" s="18">
        <f>G408</f>
        <v>1000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>
        <v>0</v>
      </c>
      <c r="I180" s="18">
        <v>0</v>
      </c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>
        <v>0</v>
      </c>
      <c r="H181" s="24" t="s">
        <v>289</v>
      </c>
      <c r="I181" s="18">
        <v>0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>
        <v>0</v>
      </c>
      <c r="H182" s="18">
        <v>0</v>
      </c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16461.52</v>
      </c>
      <c r="H183" s="41">
        <f>SUM(H179:H182)</f>
        <v>0</v>
      </c>
      <c r="I183" s="41">
        <f>SUM(I179:I182)</f>
        <v>0</v>
      </c>
      <c r="J183" s="41">
        <f>SUM(J179:J182)</f>
        <v>1000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59366.01</v>
      </c>
      <c r="G187" s="18">
        <v>0</v>
      </c>
      <c r="H187" s="18">
        <v>0</v>
      </c>
      <c r="I187" s="18">
        <v>0</v>
      </c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59366.01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59366.01</v>
      </c>
      <c r="G192" s="41">
        <f>G183+SUM(G188:G191)</f>
        <v>16461.52</v>
      </c>
      <c r="H192" s="41">
        <f>+H183+SUM(H188:H191)</f>
        <v>0</v>
      </c>
      <c r="I192" s="41">
        <f>I177+I183+SUM(I188:I191)</f>
        <v>0</v>
      </c>
      <c r="J192" s="41">
        <f>J183</f>
        <v>1000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5721228.4499999993</v>
      </c>
      <c r="G193" s="47">
        <f>G112+G140+G169+G192</f>
        <v>65922.990000000005</v>
      </c>
      <c r="H193" s="47">
        <f>H112+H140+H169+H192</f>
        <v>93633.8</v>
      </c>
      <c r="I193" s="47">
        <f>I112+I140+I169+I192</f>
        <v>0</v>
      </c>
      <c r="J193" s="47">
        <f>J112+J140+J192</f>
        <v>1527.88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774982.63+70056.43+17733.89</f>
        <v>862772.95000000007</v>
      </c>
      <c r="G197" s="18">
        <v>354528.88</v>
      </c>
      <c r="H197" s="18">
        <f>12070.05+215+3500</f>
        <v>15785.05</v>
      </c>
      <c r="I197" s="18">
        <f>20662.61+1553.22+360.62+365.09+38680.02+5230.95+5387.37</f>
        <v>72239.87999999999</v>
      </c>
      <c r="J197" s="18">
        <v>4000</v>
      </c>
      <c r="K197" s="18">
        <v>0</v>
      </c>
      <c r="L197" s="19">
        <f>SUM(F197:K197)</f>
        <v>1309326.76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44558.95+174599.12+71791</f>
        <v>290949.07</v>
      </c>
      <c r="G198" s="18">
        <v>89702.14</v>
      </c>
      <c r="H198" s="18">
        <f>65746.95+693.39+21259.43+82.01</f>
        <v>87781.779999999984</v>
      </c>
      <c r="I198" s="18">
        <f>1902.92+1812.43+235</f>
        <v>3950.3500000000004</v>
      </c>
      <c r="J198" s="18">
        <f>3676.14+2691.83+2566.22</f>
        <v>8934.1899999999987</v>
      </c>
      <c r="K198" s="18">
        <v>225</v>
      </c>
      <c r="L198" s="19">
        <f>SUM(F198:K198)</f>
        <v>481542.52999999997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250</v>
      </c>
      <c r="G200" s="18">
        <v>18.489999999999998</v>
      </c>
      <c r="H200" s="18">
        <v>8743.5</v>
      </c>
      <c r="I200" s="18">
        <v>492</v>
      </c>
      <c r="J200" s="18">
        <v>0</v>
      </c>
      <c r="K200" s="18">
        <v>0</v>
      </c>
      <c r="L200" s="19">
        <f>SUM(F200:K200)</f>
        <v>9503.99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21112.72+46500+34173.99+41036.8</f>
        <v>142823.51</v>
      </c>
      <c r="G202" s="18">
        <f>1714.95+30349.04+4157.39+23584.27</f>
        <v>59805.650000000009</v>
      </c>
      <c r="H202" s="18">
        <f>414+38621.9+69745+4055+2324.66+15555.8+2186.25</f>
        <v>132902.60999999999</v>
      </c>
      <c r="I202" s="18">
        <f>125+334.58+439.52</f>
        <v>899.09999999999991</v>
      </c>
      <c r="J202" s="18">
        <v>0</v>
      </c>
      <c r="K202" s="18">
        <f>45</f>
        <v>45</v>
      </c>
      <c r="L202" s="19">
        <f t="shared" ref="L202:L208" si="0">SUM(F202:K202)</f>
        <v>336475.87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35020+24814.92</f>
        <v>59834.92</v>
      </c>
      <c r="G203" s="18">
        <f>12056.69</f>
        <v>12056.69</v>
      </c>
      <c r="H203" s="18">
        <f>2707+3720+29968.75</f>
        <v>36395.75</v>
      </c>
      <c r="I203" s="18">
        <f>150+1127.52+4137.58+70.32+1210</f>
        <v>6695.42</v>
      </c>
      <c r="J203" s="18">
        <f>29709.91</f>
        <v>29709.91</v>
      </c>
      <c r="K203" s="18">
        <f>70</f>
        <v>70</v>
      </c>
      <c r="L203" s="19">
        <f t="shared" si="0"/>
        <v>144762.69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2500+1660+400+100</f>
        <v>4660</v>
      </c>
      <c r="G204" s="18">
        <f>164.94+30.91+7.65</f>
        <v>203.5</v>
      </c>
      <c r="H204" s="18">
        <f>225+275.25+1233.91+1500+5915+12761.76+147493</f>
        <v>169403.91999999998</v>
      </c>
      <c r="I204" s="18">
        <f>414.97</f>
        <v>414.97</v>
      </c>
      <c r="J204" s="18">
        <v>0</v>
      </c>
      <c r="K204" s="18">
        <f>3116.4</f>
        <v>3116.4</v>
      </c>
      <c r="L204" s="19">
        <f t="shared" si="0"/>
        <v>177798.78999999998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89739+44894.18</f>
        <v>134633.18</v>
      </c>
      <c r="G205" s="18">
        <f>49919.83</f>
        <v>49919.83</v>
      </c>
      <c r="H205" s="18">
        <f>2260.84+10124.1+897.31</f>
        <v>13282.25</v>
      </c>
      <c r="I205" s="18">
        <f>707.23</f>
        <v>707.23</v>
      </c>
      <c r="J205" s="18">
        <v>0</v>
      </c>
      <c r="K205" s="18">
        <f>610.1</f>
        <v>610.1</v>
      </c>
      <c r="L205" s="19">
        <f t="shared" si="0"/>
        <v>199152.59000000003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95070.55</f>
        <v>95070.55</v>
      </c>
      <c r="G207" s="18">
        <v>16142.82</v>
      </c>
      <c r="H207" s="18">
        <f>6452.59+26399.15+28333.06+6636.49+3708.07+397.52</f>
        <v>71926.880000000019</v>
      </c>
      <c r="I207" s="18">
        <f>10332.09+35502.84+867.6+36552.46</f>
        <v>83254.989999999991</v>
      </c>
      <c r="J207" s="18">
        <v>0</v>
      </c>
      <c r="K207" s="18">
        <v>0</v>
      </c>
      <c r="L207" s="19">
        <f t="shared" si="0"/>
        <v>266395.24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f>263638.49+43802.62+3841.02</f>
        <v>311282.13</v>
      </c>
      <c r="I208" s="18">
        <v>0</v>
      </c>
      <c r="J208" s="18">
        <v>0</v>
      </c>
      <c r="K208" s="18">
        <v>0</v>
      </c>
      <c r="L208" s="19">
        <f t="shared" si="0"/>
        <v>311282.13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1590994.18</v>
      </c>
      <c r="G211" s="41">
        <f t="shared" si="1"/>
        <v>582378</v>
      </c>
      <c r="H211" s="41">
        <f t="shared" si="1"/>
        <v>847503.87</v>
      </c>
      <c r="I211" s="41">
        <f t="shared" si="1"/>
        <v>168653.94</v>
      </c>
      <c r="J211" s="41">
        <f t="shared" si="1"/>
        <v>42644.1</v>
      </c>
      <c r="K211" s="41">
        <f t="shared" si="1"/>
        <v>4066.5</v>
      </c>
      <c r="L211" s="41">
        <f t="shared" si="1"/>
        <v>3236240.59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0</v>
      </c>
      <c r="G215" s="18">
        <v>0</v>
      </c>
      <c r="H215" s="18">
        <v>704584.07</v>
      </c>
      <c r="I215" s="18">
        <v>0</v>
      </c>
      <c r="J215" s="18">
        <v>0</v>
      </c>
      <c r="K215" s="18">
        <v>0</v>
      </c>
      <c r="L215" s="19">
        <f>SUM(F215:K215)</f>
        <v>704584.07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0</v>
      </c>
      <c r="G216" s="18">
        <v>0</v>
      </c>
      <c r="H216" s="18">
        <f>9006.68</f>
        <v>9006.68</v>
      </c>
      <c r="I216" s="18">
        <v>0</v>
      </c>
      <c r="J216" s="18">
        <v>0</v>
      </c>
      <c r="K216" s="18">
        <v>0</v>
      </c>
      <c r="L216" s="19">
        <f>SUM(F216:K216)</f>
        <v>9006.68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713590.75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713590.75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0</v>
      </c>
      <c r="G233" s="18">
        <v>0</v>
      </c>
      <c r="H233" s="18">
        <v>1372071.73</v>
      </c>
      <c r="I233" s="18">
        <v>0</v>
      </c>
      <c r="J233" s="18">
        <v>0</v>
      </c>
      <c r="K233" s="18">
        <v>0</v>
      </c>
      <c r="L233" s="19">
        <f>SUM(F233:K233)</f>
        <v>1372071.73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0</v>
      </c>
      <c r="G234" s="18">
        <v>0</v>
      </c>
      <c r="H234" s="18">
        <f>138634.88</f>
        <v>138634.88</v>
      </c>
      <c r="I234" s="18">
        <v>0</v>
      </c>
      <c r="J234" s="18">
        <v>0</v>
      </c>
      <c r="K234" s="18">
        <v>0</v>
      </c>
      <c r="L234" s="19">
        <f>SUM(F234:K234)</f>
        <v>138634.88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0</v>
      </c>
      <c r="G238" s="18">
        <v>0</v>
      </c>
      <c r="H238" s="18">
        <f>5104.04</f>
        <v>5104.04</v>
      </c>
      <c r="I238" s="18">
        <v>0</v>
      </c>
      <c r="J238" s="18">
        <v>0</v>
      </c>
      <c r="K238" s="18">
        <v>0</v>
      </c>
      <c r="L238" s="19">
        <f t="shared" ref="L238:L244" si="4">SUM(F238:K238)</f>
        <v>5104.04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f>42841.75</f>
        <v>42841.75</v>
      </c>
      <c r="I244" s="18">
        <v>0</v>
      </c>
      <c r="J244" s="18">
        <v>0</v>
      </c>
      <c r="K244" s="18">
        <v>0</v>
      </c>
      <c r="L244" s="19">
        <f t="shared" si="4"/>
        <v>42841.75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1558652.4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1558652.4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>
        <v>0</v>
      </c>
      <c r="G255" s="18">
        <v>0</v>
      </c>
      <c r="H255" s="18">
        <v>59366.01</v>
      </c>
      <c r="I255" s="18">
        <v>0</v>
      </c>
      <c r="J255" s="18">
        <v>0</v>
      </c>
      <c r="K255" s="18">
        <v>0</v>
      </c>
      <c r="L255" s="19">
        <f t="shared" si="6"/>
        <v>59366.01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59366.01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59366.01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1590994.18</v>
      </c>
      <c r="G257" s="41">
        <f t="shared" si="8"/>
        <v>582378</v>
      </c>
      <c r="H257" s="41">
        <f t="shared" si="8"/>
        <v>3179113.03</v>
      </c>
      <c r="I257" s="41">
        <f t="shared" si="8"/>
        <v>168653.94</v>
      </c>
      <c r="J257" s="41">
        <f t="shared" si="8"/>
        <v>42644.1</v>
      </c>
      <c r="K257" s="41">
        <f t="shared" si="8"/>
        <v>4066.5</v>
      </c>
      <c r="L257" s="41">
        <f t="shared" si="8"/>
        <v>5567849.75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75000</v>
      </c>
      <c r="L260" s="19">
        <f>SUM(F260:K260)</f>
        <v>75000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3538.75</v>
      </c>
      <c r="L261" s="19">
        <f>SUM(F261:K261)</f>
        <v>3538.75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16461.52</v>
      </c>
      <c r="L263" s="19">
        <f>SUM(F263:K263)</f>
        <v>16461.52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1000</v>
      </c>
      <c r="L266" s="19">
        <f t="shared" si="9"/>
        <v>1000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>
        <v>0</v>
      </c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96000.27</v>
      </c>
      <c r="L270" s="41">
        <f t="shared" si="9"/>
        <v>96000.27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1590994.18</v>
      </c>
      <c r="G271" s="42">
        <f t="shared" si="11"/>
        <v>582378</v>
      </c>
      <c r="H271" s="42">
        <f t="shared" si="11"/>
        <v>3179113.03</v>
      </c>
      <c r="I271" s="42">
        <f t="shared" si="11"/>
        <v>168653.94</v>
      </c>
      <c r="J271" s="42">
        <f t="shared" si="11"/>
        <v>42644.1</v>
      </c>
      <c r="K271" s="42">
        <f t="shared" si="11"/>
        <v>100066.77</v>
      </c>
      <c r="L271" s="42">
        <f t="shared" si="11"/>
        <v>5663850.0199999996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5200+14400</f>
        <v>19600</v>
      </c>
      <c r="G276" s="18">
        <f>2.72+1449.6+2256.48</f>
        <v>3708.8</v>
      </c>
      <c r="H276" s="18">
        <v>0</v>
      </c>
      <c r="I276" s="18">
        <f>14686</f>
        <v>14686</v>
      </c>
      <c r="J276" s="18">
        <v>0</v>
      </c>
      <c r="K276" s="18">
        <v>396.2</v>
      </c>
      <c r="L276" s="19">
        <f>SUM(F276:K276)</f>
        <v>38391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38950</f>
        <v>38950</v>
      </c>
      <c r="G277" s="18">
        <f>3334.02+397+2980+6103</f>
        <v>12814.02</v>
      </c>
      <c r="H277" s="18">
        <v>0</v>
      </c>
      <c r="I277" s="18">
        <v>0</v>
      </c>
      <c r="J277" s="18">
        <v>0</v>
      </c>
      <c r="K277" s="18">
        <v>879.98</v>
      </c>
      <c r="L277" s="19">
        <f>SUM(F277:K277)</f>
        <v>52644.000000000007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1200+600+352.1</f>
        <v>2152.1</v>
      </c>
      <c r="G281" s="18">
        <f>91.8+45.9+188.04+94.02+26.94</f>
        <v>446.7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2598.7999999999997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60702.1</v>
      </c>
      <c r="G290" s="42">
        <f t="shared" si="13"/>
        <v>16969.52</v>
      </c>
      <c r="H290" s="42">
        <f t="shared" si="13"/>
        <v>0</v>
      </c>
      <c r="I290" s="42">
        <f t="shared" si="13"/>
        <v>14686</v>
      </c>
      <c r="J290" s="42">
        <f t="shared" si="13"/>
        <v>0</v>
      </c>
      <c r="K290" s="42">
        <f t="shared" si="13"/>
        <v>1276.18</v>
      </c>
      <c r="L290" s="41">
        <f t="shared" si="13"/>
        <v>93633.8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60702.1</v>
      </c>
      <c r="G338" s="41">
        <f t="shared" si="20"/>
        <v>16969.52</v>
      </c>
      <c r="H338" s="41">
        <f t="shared" si="20"/>
        <v>0</v>
      </c>
      <c r="I338" s="41">
        <f t="shared" si="20"/>
        <v>14686</v>
      </c>
      <c r="J338" s="41">
        <f t="shared" si="20"/>
        <v>0</v>
      </c>
      <c r="K338" s="41">
        <f t="shared" si="20"/>
        <v>1276.18</v>
      </c>
      <c r="L338" s="41">
        <f t="shared" si="20"/>
        <v>93633.8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>
        <v>0</v>
      </c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0</v>
      </c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60702.1</v>
      </c>
      <c r="G352" s="41">
        <f>G338</f>
        <v>16969.52</v>
      </c>
      <c r="H352" s="41">
        <f>H338</f>
        <v>0</v>
      </c>
      <c r="I352" s="41">
        <f>I338</f>
        <v>14686</v>
      </c>
      <c r="J352" s="41">
        <f>J338</f>
        <v>0</v>
      </c>
      <c r="K352" s="47">
        <f>K338+K351</f>
        <v>1276.18</v>
      </c>
      <c r="L352" s="41">
        <f>L338+L351</f>
        <v>93633.8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30534.52</v>
      </c>
      <c r="G358" s="18">
        <v>3038.56</v>
      </c>
      <c r="H358" s="18">
        <f>216.35+1245.9</f>
        <v>1462.25</v>
      </c>
      <c r="I358" s="18">
        <f>536.77+23609.7+4135.52+2202.67+403</f>
        <v>30887.660000000003</v>
      </c>
      <c r="J358" s="18">
        <v>0</v>
      </c>
      <c r="K358" s="18">
        <v>0</v>
      </c>
      <c r="L358" s="13">
        <f>SUM(F358:K358)</f>
        <v>65922.990000000005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0</v>
      </c>
      <c r="G360" s="18">
        <v>0</v>
      </c>
      <c r="H360" s="18">
        <v>0</v>
      </c>
      <c r="I360" s="18">
        <v>0</v>
      </c>
      <c r="J360" s="18">
        <v>0</v>
      </c>
      <c r="K360" s="18">
        <v>0</v>
      </c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>
        <v>0</v>
      </c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30534.52</v>
      </c>
      <c r="G362" s="47">
        <f t="shared" si="22"/>
        <v>3038.56</v>
      </c>
      <c r="H362" s="47">
        <f t="shared" si="22"/>
        <v>1462.25</v>
      </c>
      <c r="I362" s="47">
        <f t="shared" si="22"/>
        <v>30887.660000000003</v>
      </c>
      <c r="J362" s="47">
        <f t="shared" si="22"/>
        <v>0</v>
      </c>
      <c r="K362" s="47">
        <f t="shared" si="22"/>
        <v>0</v>
      </c>
      <c r="L362" s="47">
        <f t="shared" si="22"/>
        <v>65922.990000000005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23609.7+4135.52+2202.67</f>
        <v>29947.89</v>
      </c>
      <c r="G367" s="18">
        <v>0</v>
      </c>
      <c r="H367" s="18">
        <v>0</v>
      </c>
      <c r="I367" s="56">
        <f>SUM(F367:H367)</f>
        <v>29947.89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536.77+403</f>
        <v>939.77</v>
      </c>
      <c r="G368" s="63">
        <v>0</v>
      </c>
      <c r="H368" s="63">
        <v>0</v>
      </c>
      <c r="I368" s="56">
        <f>SUM(F368:H368)</f>
        <v>939.77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30887.66</v>
      </c>
      <c r="G369" s="47">
        <f>SUM(G367:G368)</f>
        <v>0</v>
      </c>
      <c r="H369" s="47">
        <f>SUM(H367:H368)</f>
        <v>0</v>
      </c>
      <c r="I369" s="47">
        <f>SUM(I367:I368)</f>
        <v>30887.66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0</v>
      </c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>
        <v>0</v>
      </c>
      <c r="G396" s="18">
        <v>0</v>
      </c>
      <c r="H396" s="18">
        <v>119.55</v>
      </c>
      <c r="I396" s="18">
        <v>0</v>
      </c>
      <c r="J396" s="24" t="s">
        <v>289</v>
      </c>
      <c r="K396" s="24" t="s">
        <v>289</v>
      </c>
      <c r="L396" s="56">
        <f t="shared" si="26"/>
        <v>119.55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>
        <v>0</v>
      </c>
      <c r="G397" s="18">
        <v>0</v>
      </c>
      <c r="H397" s="18">
        <v>400.82</v>
      </c>
      <c r="I397" s="18">
        <v>0</v>
      </c>
      <c r="J397" s="24" t="s">
        <v>289</v>
      </c>
      <c r="K397" s="24" t="s">
        <v>289</v>
      </c>
      <c r="L397" s="56">
        <f t="shared" si="26"/>
        <v>400.82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>
        <v>0</v>
      </c>
      <c r="G400" s="18">
        <v>1000</v>
      </c>
      <c r="H400" s="18">
        <v>7.51</v>
      </c>
      <c r="I400" s="18">
        <v>0</v>
      </c>
      <c r="J400" s="24" t="s">
        <v>289</v>
      </c>
      <c r="K400" s="24" t="s">
        <v>289</v>
      </c>
      <c r="L400" s="56">
        <f t="shared" si="26"/>
        <v>1007.51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1000</v>
      </c>
      <c r="H401" s="47">
        <f>SUM(H395:H400)</f>
        <v>527.88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1527.88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>
        <v>0</v>
      </c>
      <c r="G406" s="18">
        <v>0</v>
      </c>
      <c r="H406" s="18">
        <v>0</v>
      </c>
      <c r="I406" s="18">
        <v>0</v>
      </c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1000</v>
      </c>
      <c r="H408" s="47">
        <f>H393+H401+H407</f>
        <v>527.88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1527.88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59366.01</v>
      </c>
      <c r="L422" s="56">
        <f t="shared" si="29"/>
        <v>59366.01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v>0</v>
      </c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59366.01</v>
      </c>
      <c r="L427" s="47">
        <f t="shared" si="30"/>
        <v>59366.01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59366.01</v>
      </c>
      <c r="L434" s="47">
        <f t="shared" si="32"/>
        <v>59366.01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0</v>
      </c>
      <c r="G439" s="18">
        <v>0</v>
      </c>
      <c r="H439" s="18">
        <v>0</v>
      </c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f>32338.04+2032.36</f>
        <v>34370.400000000001</v>
      </c>
      <c r="G441" s="18">
        <f>108422.16</f>
        <v>108422.16</v>
      </c>
      <c r="H441" s="18">
        <v>0</v>
      </c>
      <c r="I441" s="56">
        <f t="shared" si="33"/>
        <v>142792.56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34370.400000000001</v>
      </c>
      <c r="G446" s="13">
        <f>SUM(G439:G445)</f>
        <v>108422.16</v>
      </c>
      <c r="H446" s="13">
        <f>SUM(H439:H445)</f>
        <v>0</v>
      </c>
      <c r="I446" s="13">
        <f>SUM(I439:I445)</f>
        <v>142792.56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f>F441</f>
        <v>34370.400000000001</v>
      </c>
      <c r="G459" s="18">
        <f>G441</f>
        <v>108422.16</v>
      </c>
      <c r="H459" s="18">
        <v>0</v>
      </c>
      <c r="I459" s="56">
        <f t="shared" si="34"/>
        <v>142792.56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34370.400000000001</v>
      </c>
      <c r="G460" s="83">
        <f>SUM(G454:G459)</f>
        <v>108422.16</v>
      </c>
      <c r="H460" s="83">
        <f>SUM(H454:H459)</f>
        <v>0</v>
      </c>
      <c r="I460" s="83">
        <f>SUM(I454:I459)</f>
        <v>142792.56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34370.400000000001</v>
      </c>
      <c r="G461" s="42">
        <f>G452+G460</f>
        <v>108422.16</v>
      </c>
      <c r="H461" s="42">
        <f>H452+H460</f>
        <v>0</v>
      </c>
      <c r="I461" s="42">
        <f>I452+I460</f>
        <v>142792.56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276741</v>
      </c>
      <c r="G465" s="18">
        <v>0</v>
      </c>
      <c r="H465" s="18">
        <v>0</v>
      </c>
      <c r="I465" s="18">
        <v>0</v>
      </c>
      <c r="J465" s="18">
        <v>200630.69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5721228.4499999993</v>
      </c>
      <c r="G468" s="18">
        <f>G193</f>
        <v>65922.990000000005</v>
      </c>
      <c r="H468" s="18">
        <f>H193</f>
        <v>93633.8</v>
      </c>
      <c r="I468" s="18">
        <v>0</v>
      </c>
      <c r="J468" s="18">
        <f>L408</f>
        <v>1527.88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>
        <v>0</v>
      </c>
      <c r="H469" s="18">
        <v>0</v>
      </c>
      <c r="I469" s="18">
        <v>0</v>
      </c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5721228.4499999993</v>
      </c>
      <c r="G470" s="53">
        <f>SUM(G468:G469)</f>
        <v>65922.990000000005</v>
      </c>
      <c r="H470" s="53">
        <f>SUM(H468:H469)</f>
        <v>93633.8</v>
      </c>
      <c r="I470" s="53">
        <f>SUM(I468:I469)</f>
        <v>0</v>
      </c>
      <c r="J470" s="53">
        <f>SUM(J468:J469)</f>
        <v>1527.88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5663850.0199999996</v>
      </c>
      <c r="G472" s="18">
        <f>L362</f>
        <v>65922.990000000005</v>
      </c>
      <c r="H472" s="18">
        <f>L352</f>
        <v>93633.8</v>
      </c>
      <c r="I472" s="18">
        <v>0</v>
      </c>
      <c r="J472" s="18">
        <f>L434</f>
        <v>59366.01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>
        <v>0</v>
      </c>
      <c r="H473" s="18">
        <v>0</v>
      </c>
      <c r="I473" s="18">
        <v>0</v>
      </c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5663850.0199999996</v>
      </c>
      <c r="G474" s="53">
        <f>SUM(G472:G473)</f>
        <v>65922.990000000005</v>
      </c>
      <c r="H474" s="53">
        <f>SUM(H472:H473)</f>
        <v>93633.8</v>
      </c>
      <c r="I474" s="53">
        <f>SUM(I472:I473)</f>
        <v>0</v>
      </c>
      <c r="J474" s="53">
        <f>SUM(J472:J473)</f>
        <v>59366.01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334119.4299999997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142792.56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487000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4.75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112000</v>
      </c>
      <c r="G495" s="18"/>
      <c r="H495" s="18"/>
      <c r="I495" s="18"/>
      <c r="J495" s="18"/>
      <c r="K495" s="53">
        <f>SUM(F495:J495)</f>
        <v>112000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75000</v>
      </c>
      <c r="G497" s="18"/>
      <c r="H497" s="18"/>
      <c r="I497" s="18"/>
      <c r="J497" s="18"/>
      <c r="K497" s="53">
        <f t="shared" si="35"/>
        <v>75000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37000</v>
      </c>
      <c r="G498" s="204"/>
      <c r="H498" s="204"/>
      <c r="I498" s="204"/>
      <c r="J498" s="204"/>
      <c r="K498" s="205">
        <f t="shared" si="35"/>
        <v>37000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878.75</v>
      </c>
      <c r="G499" s="18"/>
      <c r="H499" s="18"/>
      <c r="I499" s="18"/>
      <c r="J499" s="18"/>
      <c r="K499" s="53">
        <f t="shared" si="35"/>
        <v>878.75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37878.75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37878.75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37000</v>
      </c>
      <c r="G501" s="204"/>
      <c r="H501" s="204"/>
      <c r="I501" s="204"/>
      <c r="J501" s="204"/>
      <c r="K501" s="205">
        <f t="shared" si="35"/>
        <v>37000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878.75</v>
      </c>
      <c r="G502" s="18"/>
      <c r="H502" s="18"/>
      <c r="I502" s="18"/>
      <c r="J502" s="18"/>
      <c r="K502" s="53">
        <f t="shared" si="35"/>
        <v>878.75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37878.75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37878.75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F198</f>
        <v>290949.07</v>
      </c>
      <c r="G521" s="18">
        <f t="shared" ref="G521:K521" si="36">G198</f>
        <v>89702.14</v>
      </c>
      <c r="H521" s="18">
        <f t="shared" si="36"/>
        <v>87781.779999999984</v>
      </c>
      <c r="I521" s="18">
        <f t="shared" si="36"/>
        <v>3950.3500000000004</v>
      </c>
      <c r="J521" s="18">
        <f t="shared" si="36"/>
        <v>8934.1899999999987</v>
      </c>
      <c r="K521" s="18">
        <f t="shared" si="36"/>
        <v>225</v>
      </c>
      <c r="L521" s="88">
        <f>SUM(F521:K521)</f>
        <v>481542.52999999997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0</v>
      </c>
      <c r="G522" s="18">
        <v>0</v>
      </c>
      <c r="H522" s="18">
        <f>H216</f>
        <v>9006.68</v>
      </c>
      <c r="I522" s="18">
        <v>0</v>
      </c>
      <c r="J522" s="18">
        <v>0</v>
      </c>
      <c r="K522" s="18">
        <v>0</v>
      </c>
      <c r="L522" s="88">
        <f>SUM(F522:K522)</f>
        <v>9006.68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0</v>
      </c>
      <c r="G523" s="18">
        <v>0</v>
      </c>
      <c r="H523" s="18">
        <f>H234</f>
        <v>138634.88</v>
      </c>
      <c r="I523" s="18">
        <v>0</v>
      </c>
      <c r="J523" s="18">
        <v>0</v>
      </c>
      <c r="K523" s="18">
        <v>0</v>
      </c>
      <c r="L523" s="88">
        <f>SUM(F523:K523)</f>
        <v>138634.88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290949.07</v>
      </c>
      <c r="G524" s="108">
        <f t="shared" ref="G524:L524" si="37">SUM(G521:G523)</f>
        <v>89702.14</v>
      </c>
      <c r="H524" s="108">
        <f t="shared" si="37"/>
        <v>235423.34</v>
      </c>
      <c r="I524" s="108">
        <f t="shared" si="37"/>
        <v>3950.3500000000004</v>
      </c>
      <c r="J524" s="108">
        <f t="shared" si="37"/>
        <v>8934.1899999999987</v>
      </c>
      <c r="K524" s="108">
        <f t="shared" si="37"/>
        <v>225</v>
      </c>
      <c r="L524" s="89">
        <f t="shared" si="37"/>
        <v>629184.09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34173.99+41036.8</f>
        <v>75210.790000000008</v>
      </c>
      <c r="G526" s="18">
        <f>4157.39+23584.27</f>
        <v>27741.66</v>
      </c>
      <c r="H526" s="18">
        <f>38621.9+69745+4055+2324.66+1555.8+2186.25</f>
        <v>118488.61</v>
      </c>
      <c r="I526" s="18">
        <f>439.52</f>
        <v>439.52</v>
      </c>
      <c r="J526" s="18">
        <v>0</v>
      </c>
      <c r="K526" s="18">
        <v>0</v>
      </c>
      <c r="L526" s="88">
        <f>SUM(F526:K526)</f>
        <v>221880.58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0</v>
      </c>
      <c r="G528" s="18">
        <v>0</v>
      </c>
      <c r="H528" s="18">
        <f>5104.04</f>
        <v>5104.04</v>
      </c>
      <c r="I528" s="18">
        <v>0</v>
      </c>
      <c r="J528" s="18">
        <v>0</v>
      </c>
      <c r="K528" s="18">
        <v>0</v>
      </c>
      <c r="L528" s="88">
        <f>SUM(F528:K528)</f>
        <v>5104.04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75210.790000000008</v>
      </c>
      <c r="G529" s="89">
        <f t="shared" ref="G529:L529" si="38">SUM(G526:G528)</f>
        <v>27741.66</v>
      </c>
      <c r="H529" s="89">
        <f t="shared" si="38"/>
        <v>123592.65</v>
      </c>
      <c r="I529" s="89">
        <f t="shared" si="38"/>
        <v>439.52</v>
      </c>
      <c r="J529" s="89">
        <f t="shared" si="38"/>
        <v>0</v>
      </c>
      <c r="K529" s="89">
        <f t="shared" si="38"/>
        <v>0</v>
      </c>
      <c r="L529" s="89">
        <f t="shared" si="38"/>
        <v>226984.62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0</v>
      </c>
      <c r="G531" s="18">
        <v>0</v>
      </c>
      <c r="H531" s="18">
        <v>23853.21</v>
      </c>
      <c r="I531" s="18">
        <v>0</v>
      </c>
      <c r="J531" s="18">
        <v>0</v>
      </c>
      <c r="K531" s="18">
        <v>0</v>
      </c>
      <c r="L531" s="88">
        <f>SUM(F531:K531)</f>
        <v>23853.21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0</v>
      </c>
      <c r="G533" s="18">
        <v>0</v>
      </c>
      <c r="H533" s="18">
        <v>0</v>
      </c>
      <c r="I533" s="18">
        <v>0</v>
      </c>
      <c r="J533" s="18">
        <v>0</v>
      </c>
      <c r="K533" s="18">
        <v>0</v>
      </c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9">SUM(G531:G533)</f>
        <v>0</v>
      </c>
      <c r="H534" s="89">
        <f t="shared" si="39"/>
        <v>23853.21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23853.21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0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0</v>
      </c>
      <c r="G541" s="18">
        <v>0</v>
      </c>
      <c r="H541" s="18">
        <v>43802.62</v>
      </c>
      <c r="I541" s="18">
        <v>0</v>
      </c>
      <c r="J541" s="18">
        <v>0</v>
      </c>
      <c r="K541" s="18">
        <v>0</v>
      </c>
      <c r="L541" s="88">
        <f>SUM(F541:K541)</f>
        <v>43802.62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0</v>
      </c>
      <c r="G542" s="18">
        <v>0</v>
      </c>
      <c r="H542" s="18">
        <v>0</v>
      </c>
      <c r="I542" s="18">
        <v>0</v>
      </c>
      <c r="J542" s="18">
        <v>0</v>
      </c>
      <c r="K542" s="18">
        <v>0</v>
      </c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0</v>
      </c>
      <c r="G543" s="18">
        <v>0</v>
      </c>
      <c r="H543" s="18">
        <v>42841.75</v>
      </c>
      <c r="I543" s="18">
        <v>0</v>
      </c>
      <c r="J543" s="18">
        <v>0</v>
      </c>
      <c r="K543" s="18">
        <v>0</v>
      </c>
      <c r="L543" s="88">
        <f>SUM(F543:K543)</f>
        <v>42841.75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86644.37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86644.37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366159.86</v>
      </c>
      <c r="G545" s="89">
        <f t="shared" ref="G545:L545" si="42">G524+G529+G534+G539+G544</f>
        <v>117443.8</v>
      </c>
      <c r="H545" s="89">
        <f t="shared" si="42"/>
        <v>469513.57</v>
      </c>
      <c r="I545" s="89">
        <f t="shared" si="42"/>
        <v>4389.8700000000008</v>
      </c>
      <c r="J545" s="89">
        <f t="shared" si="42"/>
        <v>8934.1899999999987</v>
      </c>
      <c r="K545" s="89">
        <f t="shared" si="42"/>
        <v>225</v>
      </c>
      <c r="L545" s="89">
        <f t="shared" si="42"/>
        <v>966666.28999999992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481542.52999999997</v>
      </c>
      <c r="G549" s="87">
        <f>L526</f>
        <v>221880.58</v>
      </c>
      <c r="H549" s="87">
        <f>L531</f>
        <v>23853.21</v>
      </c>
      <c r="I549" s="87">
        <f>L536</f>
        <v>0</v>
      </c>
      <c r="J549" s="87">
        <f>L541</f>
        <v>43802.62</v>
      </c>
      <c r="K549" s="87">
        <f>SUM(F549:J549)</f>
        <v>771078.94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9006.68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9006.68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138634.88</v>
      </c>
      <c r="G551" s="87">
        <f>L528</f>
        <v>5104.04</v>
      </c>
      <c r="H551" s="87">
        <f>L533</f>
        <v>0</v>
      </c>
      <c r="I551" s="87">
        <f>L538</f>
        <v>0</v>
      </c>
      <c r="J551" s="87">
        <f>L543</f>
        <v>42841.75</v>
      </c>
      <c r="K551" s="87">
        <f>SUM(F551:J551)</f>
        <v>186580.67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3">SUM(F549:F551)</f>
        <v>629184.09</v>
      </c>
      <c r="G552" s="89">
        <f t="shared" si="43"/>
        <v>226984.62</v>
      </c>
      <c r="H552" s="89">
        <f t="shared" si="43"/>
        <v>23853.21</v>
      </c>
      <c r="I552" s="89">
        <f t="shared" si="43"/>
        <v>0</v>
      </c>
      <c r="J552" s="89">
        <f t="shared" si="43"/>
        <v>86644.37</v>
      </c>
      <c r="K552" s="89">
        <f t="shared" si="43"/>
        <v>966666.29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0</v>
      </c>
      <c r="G575" s="18">
        <v>704584.07</v>
      </c>
      <c r="H575" s="18">
        <v>1372071.73</v>
      </c>
      <c r="I575" s="87">
        <f>SUM(F575:H575)</f>
        <v>2076655.7999999998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>
        <v>0</v>
      </c>
      <c r="G576" s="18">
        <v>0</v>
      </c>
      <c r="H576" s="18">
        <v>0</v>
      </c>
      <c r="I576" s="87">
        <f t="shared" ref="I576:I587" si="48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0</v>
      </c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v>0</v>
      </c>
      <c r="G578" s="18">
        <v>0</v>
      </c>
      <c r="H578" s="18">
        <v>0</v>
      </c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11582.12</v>
      </c>
      <c r="G579" s="18">
        <v>0</v>
      </c>
      <c r="H579" s="18">
        <v>0</v>
      </c>
      <c r="I579" s="87">
        <f t="shared" si="48"/>
        <v>11582.12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0</v>
      </c>
      <c r="G580" s="18">
        <v>0</v>
      </c>
      <c r="H580" s="18">
        <v>0</v>
      </c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0</v>
      </c>
      <c r="I581" s="87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21259.43-11582.12</f>
        <v>9677.31</v>
      </c>
      <c r="G582" s="18">
        <v>0</v>
      </c>
      <c r="H582" s="18">
        <v>0</v>
      </c>
      <c r="I582" s="87">
        <f t="shared" si="48"/>
        <v>9677.31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0</v>
      </c>
      <c r="G583" s="18">
        <v>0</v>
      </c>
      <c r="H583" s="18">
        <v>0</v>
      </c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>
        <v>0</v>
      </c>
      <c r="G584" s="18">
        <v>0</v>
      </c>
      <c r="H584" s="18">
        <v>0</v>
      </c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>
        <v>0</v>
      </c>
      <c r="G585" s="18">
        <v>0</v>
      </c>
      <c r="H585" s="18">
        <v>0</v>
      </c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>
        <v>0</v>
      </c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>
        <v>0</v>
      </c>
      <c r="G587" s="18">
        <v>0</v>
      </c>
      <c r="H587" s="18">
        <v>0</v>
      </c>
      <c r="I587" s="87">
        <f t="shared" si="48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263638.49</v>
      </c>
      <c r="I591" s="18">
        <v>0</v>
      </c>
      <c r="J591" s="18">
        <v>0</v>
      </c>
      <c r="K591" s="104">
        <f t="shared" ref="K591:K597" si="49">SUM(H591:J591)</f>
        <v>263638.49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43802.62</v>
      </c>
      <c r="I592" s="18">
        <v>0</v>
      </c>
      <c r="J592" s="18">
        <v>42841.75</v>
      </c>
      <c r="K592" s="104">
        <f t="shared" si="49"/>
        <v>86644.37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0</v>
      </c>
      <c r="K593" s="104">
        <f t="shared" si="49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0</v>
      </c>
      <c r="I594" s="18">
        <v>0</v>
      </c>
      <c r="J594" s="18">
        <v>0</v>
      </c>
      <c r="K594" s="104">
        <f t="shared" si="49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3841.02</v>
      </c>
      <c r="I595" s="18">
        <v>0</v>
      </c>
      <c r="J595" s="18">
        <v>0</v>
      </c>
      <c r="K595" s="104">
        <f t="shared" si="49"/>
        <v>3841.02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9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0</v>
      </c>
      <c r="I597" s="18">
        <v>0</v>
      </c>
      <c r="J597" s="18">
        <v>0</v>
      </c>
      <c r="K597" s="104">
        <f t="shared" si="49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311282.13</v>
      </c>
      <c r="I598" s="108">
        <f>SUM(I591:I597)</f>
        <v>0</v>
      </c>
      <c r="J598" s="108">
        <f>SUM(J591:J597)</f>
        <v>42841.75</v>
      </c>
      <c r="K598" s="108">
        <f>SUM(K591:K597)</f>
        <v>354123.88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42644.1</v>
      </c>
      <c r="I604" s="18">
        <v>0</v>
      </c>
      <c r="J604" s="18">
        <v>0</v>
      </c>
      <c r="K604" s="104">
        <f>SUM(H604:J604)</f>
        <v>42644.1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42644.1</v>
      </c>
      <c r="I605" s="108">
        <f>SUM(I602:I604)</f>
        <v>0</v>
      </c>
      <c r="J605" s="108">
        <f>SUM(J602:J604)</f>
        <v>0</v>
      </c>
      <c r="K605" s="108">
        <f>SUM(K602:K604)</f>
        <v>42644.1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0</v>
      </c>
      <c r="G611" s="18">
        <v>0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0</v>
      </c>
      <c r="G613" s="18">
        <v>0</v>
      </c>
      <c r="H613" s="18">
        <v>0</v>
      </c>
      <c r="I613" s="18">
        <v>0</v>
      </c>
      <c r="J613" s="18">
        <v>0</v>
      </c>
      <c r="K613" s="18">
        <v>0</v>
      </c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0">SUM(F611:F613)</f>
        <v>0</v>
      </c>
      <c r="G614" s="108">
        <f t="shared" si="50"/>
        <v>0</v>
      </c>
      <c r="H614" s="108">
        <f t="shared" si="50"/>
        <v>0</v>
      </c>
      <c r="I614" s="108">
        <f t="shared" si="50"/>
        <v>0</v>
      </c>
      <c r="J614" s="108">
        <f t="shared" si="50"/>
        <v>0</v>
      </c>
      <c r="K614" s="108">
        <f t="shared" si="50"/>
        <v>0</v>
      </c>
      <c r="L614" s="89">
        <f t="shared" si="50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1454820.34</v>
      </c>
      <c r="H617" s="109">
        <f>SUM(F52)</f>
        <v>1454820.3399999996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1504.35</v>
      </c>
      <c r="H618" s="109">
        <f>SUM(G52)</f>
        <v>1504.35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41962.1</v>
      </c>
      <c r="H619" s="109">
        <f>SUM(H52)</f>
        <v>41962.1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142792.56</v>
      </c>
      <c r="H621" s="109">
        <f>SUM(J52)</f>
        <v>142792.56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334119.4299999997</v>
      </c>
      <c r="H622" s="109">
        <f>F476</f>
        <v>334119.4299999997</v>
      </c>
      <c r="I622" s="121" t="s">
        <v>101</v>
      </c>
      <c r="J622" s="109">
        <f t="shared" ref="J622:J655" si="51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142792.56</v>
      </c>
      <c r="H626" s="109">
        <f>J476</f>
        <v>142792.56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5721228.4499999993</v>
      </c>
      <c r="H627" s="104">
        <f>SUM(F468)</f>
        <v>5721228.4499999993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65922.990000000005</v>
      </c>
      <c r="H628" s="104">
        <f>SUM(G468)</f>
        <v>65922.990000000005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93633.8</v>
      </c>
      <c r="H629" s="104">
        <f>SUM(H468)</f>
        <v>93633.8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1527.88</v>
      </c>
      <c r="H631" s="104">
        <f>SUM(J468)</f>
        <v>1527.88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5663850.0199999996</v>
      </c>
      <c r="H632" s="104">
        <f>SUM(F472)</f>
        <v>5663850.0199999996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93633.8</v>
      </c>
      <c r="H633" s="104">
        <f>SUM(H472)</f>
        <v>93633.8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30887.660000000003</v>
      </c>
      <c r="H634" s="104">
        <f>I369</f>
        <v>30887.66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65922.990000000005</v>
      </c>
      <c r="H635" s="104">
        <f>SUM(G472)</f>
        <v>65922.990000000005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1527.88</v>
      </c>
      <c r="H637" s="164">
        <f>SUM(J468)</f>
        <v>1527.88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59366.01</v>
      </c>
      <c r="H638" s="164">
        <f>SUM(J472)</f>
        <v>59366.01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34370.400000000001</v>
      </c>
      <c r="H639" s="104">
        <f>SUM(F461)</f>
        <v>34370.400000000001</v>
      </c>
      <c r="I639" s="140" t="s">
        <v>857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108422.16</v>
      </c>
      <c r="H640" s="104">
        <f>SUM(G461)</f>
        <v>108422.16</v>
      </c>
      <c r="I640" s="140" t="s">
        <v>858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142792.56</v>
      </c>
      <c r="H642" s="104">
        <f>SUM(I461)</f>
        <v>142792.56</v>
      </c>
      <c r="I642" s="140" t="s">
        <v>860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527.88</v>
      </c>
      <c r="H644" s="104">
        <f>H408</f>
        <v>527.88</v>
      </c>
      <c r="I644" s="140" t="s">
        <v>481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1000</v>
      </c>
      <c r="H645" s="104">
        <f>G408</f>
        <v>1000</v>
      </c>
      <c r="I645" s="140" t="s">
        <v>482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1527.88</v>
      </c>
      <c r="H646" s="104">
        <f>L408</f>
        <v>1527.88</v>
      </c>
      <c r="I646" s="140" t="s">
        <v>478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354123.88</v>
      </c>
      <c r="H647" s="104">
        <f>L208+L226+L244</f>
        <v>354123.88</v>
      </c>
      <c r="I647" s="140" t="s">
        <v>397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42644.1</v>
      </c>
      <c r="H648" s="104">
        <f>(J257+J338)-(J255+J336)</f>
        <v>42644.1</v>
      </c>
      <c r="I648" s="140" t="s">
        <v>703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311282.13</v>
      </c>
      <c r="H649" s="104">
        <f>H598</f>
        <v>311282.13</v>
      </c>
      <c r="I649" s="140" t="s">
        <v>389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42841.75</v>
      </c>
      <c r="H651" s="104">
        <f>J598</f>
        <v>42841.75</v>
      </c>
      <c r="I651" s="140" t="s">
        <v>391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16461.52</v>
      </c>
      <c r="H652" s="104">
        <f>K263+K345</f>
        <v>16461.52</v>
      </c>
      <c r="I652" s="140" t="s">
        <v>398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1000</v>
      </c>
      <c r="H655" s="104">
        <f>K266+K347</f>
        <v>1000</v>
      </c>
      <c r="I655" s="140" t="s">
        <v>401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3395797.38</v>
      </c>
      <c r="G660" s="19">
        <f>(L229+L309+L359)</f>
        <v>713590.75</v>
      </c>
      <c r="H660" s="19">
        <f>(L247+L328+L360)</f>
        <v>1558652.4</v>
      </c>
      <c r="I660" s="19">
        <f>SUM(F660:H660)</f>
        <v>5668040.5299999993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32998.29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32998.29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311282.13</v>
      </c>
      <c r="G662" s="19">
        <f>(L226+L306)-(J226+J306)</f>
        <v>0</v>
      </c>
      <c r="H662" s="19">
        <f>(L244+L325)-(J244+J325)</f>
        <v>42841.75</v>
      </c>
      <c r="I662" s="19">
        <f>SUM(F662:H662)</f>
        <v>354123.88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63903.53</v>
      </c>
      <c r="G663" s="199">
        <f>SUM(G575:G587)+SUM(I602:I604)+L612</f>
        <v>704584.07</v>
      </c>
      <c r="H663" s="199">
        <f>SUM(H575:H587)+SUM(J602:J604)+L613</f>
        <v>1372071.73</v>
      </c>
      <c r="I663" s="19">
        <f>SUM(F663:H663)</f>
        <v>2140559.33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2987613.4299999997</v>
      </c>
      <c r="G664" s="19">
        <f>G660-SUM(G661:G663)</f>
        <v>9006.6800000000512</v>
      </c>
      <c r="H664" s="19">
        <f>H660-SUM(H661:H663)</f>
        <v>143738.91999999993</v>
      </c>
      <c r="I664" s="19">
        <f>I660-SUM(I661:I663)</f>
        <v>3140359.0299999993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188.73</v>
      </c>
      <c r="G665" s="248"/>
      <c r="H665" s="248"/>
      <c r="I665" s="19">
        <f>SUM(F665:H665)</f>
        <v>188.73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15830.09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16639.43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-9006.68</v>
      </c>
      <c r="H669" s="18">
        <v>-143738.92000000001</v>
      </c>
      <c r="I669" s="19">
        <f>SUM(F669:H669)</f>
        <v>-152745.60000000001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15830.09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15830.09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A9" sqref="A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DUNBARTON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882372.95000000007</v>
      </c>
      <c r="C9" s="229">
        <f>'DOE25'!G197+'DOE25'!G215+'DOE25'!G233+'DOE25'!G276+'DOE25'!G295+'DOE25'!G314</f>
        <v>358237.68</v>
      </c>
    </row>
    <row r="10" spans="1:3" x14ac:dyDescent="0.2">
      <c r="A10" t="s">
        <v>779</v>
      </c>
      <c r="B10" s="240">
        <f>882375.95-88977.69-3</f>
        <v>793395.26</v>
      </c>
      <c r="C10" s="240">
        <v>328093.15000000002</v>
      </c>
    </row>
    <row r="11" spans="1:3" x14ac:dyDescent="0.2">
      <c r="A11" t="s">
        <v>780</v>
      </c>
      <c r="B11" s="240">
        <v>88977.69</v>
      </c>
      <c r="C11" s="240">
        <v>30144.53</v>
      </c>
    </row>
    <row r="12" spans="1:3" x14ac:dyDescent="0.2">
      <c r="A12" t="s">
        <v>781</v>
      </c>
      <c r="B12" s="240">
        <v>0</v>
      </c>
      <c r="C12" s="240">
        <v>0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882372.95</v>
      </c>
      <c r="C13" s="231">
        <f>SUM(C10:C12)</f>
        <v>358237.68000000005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329899.07</v>
      </c>
      <c r="C18" s="229">
        <f>'DOE25'!G198+'DOE25'!G216+'DOE25'!G234+'DOE25'!G277+'DOE25'!G296+'DOE25'!G315</f>
        <v>102516.16</v>
      </c>
    </row>
    <row r="19" spans="1:3" x14ac:dyDescent="0.2">
      <c r="A19" t="s">
        <v>779</v>
      </c>
      <c r="B19" s="240">
        <f>44558.95+38950</f>
        <v>83508.95</v>
      </c>
      <c r="C19" s="240">
        <v>42140.66</v>
      </c>
    </row>
    <row r="20" spans="1:3" x14ac:dyDescent="0.2">
      <c r="A20" t="s">
        <v>780</v>
      </c>
      <c r="B20" s="240">
        <v>174599.12</v>
      </c>
      <c r="C20" s="240">
        <v>35053.82</v>
      </c>
    </row>
    <row r="21" spans="1:3" x14ac:dyDescent="0.2">
      <c r="A21" t="s">
        <v>781</v>
      </c>
      <c r="B21" s="240">
        <v>71791</v>
      </c>
      <c r="C21" s="240">
        <v>25321.68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329899.07</v>
      </c>
      <c r="C22" s="231">
        <f>SUM(C19:C21)</f>
        <v>102516.16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>
        <v>0</v>
      </c>
      <c r="C28" s="240">
        <v>0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250</v>
      </c>
      <c r="C36" s="235">
        <f>'DOE25'!G200+'DOE25'!G218+'DOE25'!G236+'DOE25'!G279+'DOE25'!G298+'DOE25'!G317</f>
        <v>18.489999999999998</v>
      </c>
    </row>
    <row r="37" spans="1:3" x14ac:dyDescent="0.2">
      <c r="A37" t="s">
        <v>779</v>
      </c>
      <c r="B37" s="240">
        <v>250</v>
      </c>
      <c r="C37" s="240">
        <v>18.489999999999998</v>
      </c>
    </row>
    <row r="38" spans="1:3" x14ac:dyDescent="0.2">
      <c r="A38" t="s">
        <v>780</v>
      </c>
      <c r="B38" s="240">
        <v>0</v>
      </c>
      <c r="C38" s="240">
        <v>0</v>
      </c>
    </row>
    <row r="39" spans="1:3" x14ac:dyDescent="0.2">
      <c r="A39" t="s">
        <v>781</v>
      </c>
      <c r="B39" s="240">
        <v>0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250</v>
      </c>
      <c r="C40" s="231">
        <f>SUM(C37:C39)</f>
        <v>18.489999999999998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F38" sqref="F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DUNBARTON SCHOOL DISTRICT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4024670.64</v>
      </c>
      <c r="D5" s="20">
        <f>SUM('DOE25'!L197:L200)+SUM('DOE25'!L215:L218)+SUM('DOE25'!L233:L236)-F5-G5</f>
        <v>4011511.45</v>
      </c>
      <c r="E5" s="243"/>
      <c r="F5" s="255">
        <f>SUM('DOE25'!J197:J200)+SUM('DOE25'!J215:J218)+SUM('DOE25'!J233:J236)</f>
        <v>12934.189999999999</v>
      </c>
      <c r="G5" s="53">
        <f>SUM('DOE25'!K197:K200)+SUM('DOE25'!K215:K218)+SUM('DOE25'!K233:K236)</f>
        <v>225</v>
      </c>
      <c r="H5" s="259"/>
    </row>
    <row r="6" spans="1:9" x14ac:dyDescent="0.2">
      <c r="A6" s="32">
        <v>2100</v>
      </c>
      <c r="B6" t="s">
        <v>801</v>
      </c>
      <c r="C6" s="245">
        <f t="shared" si="0"/>
        <v>341579.91</v>
      </c>
      <c r="D6" s="20">
        <f>'DOE25'!L202+'DOE25'!L220+'DOE25'!L238-F6-G6</f>
        <v>341534.91</v>
      </c>
      <c r="E6" s="243"/>
      <c r="F6" s="255">
        <f>'DOE25'!J202+'DOE25'!J220+'DOE25'!J238</f>
        <v>0</v>
      </c>
      <c r="G6" s="53">
        <f>'DOE25'!K202+'DOE25'!K220+'DOE25'!K238</f>
        <v>45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144762.69</v>
      </c>
      <c r="D7" s="20">
        <f>'DOE25'!L203+'DOE25'!L221+'DOE25'!L239-F7-G7</f>
        <v>114982.78</v>
      </c>
      <c r="E7" s="243"/>
      <c r="F7" s="255">
        <f>'DOE25'!J203+'DOE25'!J221+'DOE25'!J239</f>
        <v>29709.91</v>
      </c>
      <c r="G7" s="53">
        <f>'DOE25'!K203+'DOE25'!K221+'DOE25'!K239</f>
        <v>70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121616.31999999998</v>
      </c>
      <c r="D8" s="243"/>
      <c r="E8" s="20">
        <f>'DOE25'!L204+'DOE25'!L222+'DOE25'!L240-F8-G8-D9-D11</f>
        <v>118499.91999999998</v>
      </c>
      <c r="F8" s="255">
        <f>'DOE25'!J204+'DOE25'!J222+'DOE25'!J240</f>
        <v>0</v>
      </c>
      <c r="G8" s="53">
        <f>'DOE25'!K204+'DOE25'!K222+'DOE25'!K240</f>
        <v>3116.4</v>
      </c>
      <c r="H8" s="259"/>
    </row>
    <row r="9" spans="1:9" x14ac:dyDescent="0.2">
      <c r="A9" s="32">
        <v>2310</v>
      </c>
      <c r="B9" t="s">
        <v>818</v>
      </c>
      <c r="C9" s="245">
        <f t="shared" si="0"/>
        <v>9590.4699999999993</v>
      </c>
      <c r="D9" s="244">
        <v>9590.4699999999993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5915</v>
      </c>
      <c r="D10" s="243"/>
      <c r="E10" s="244">
        <v>5915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46592</v>
      </c>
      <c r="D11" s="244">
        <v>46592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199152.59000000003</v>
      </c>
      <c r="D12" s="20">
        <f>'DOE25'!L205+'DOE25'!L223+'DOE25'!L241-F12-G12</f>
        <v>198542.49000000002</v>
      </c>
      <c r="E12" s="243"/>
      <c r="F12" s="255">
        <f>'DOE25'!J205+'DOE25'!J223+'DOE25'!J241</f>
        <v>0</v>
      </c>
      <c r="G12" s="53">
        <f>'DOE25'!K205+'DOE25'!K223+'DOE25'!K241</f>
        <v>610.1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266395.24</v>
      </c>
      <c r="D14" s="20">
        <f>'DOE25'!L207+'DOE25'!L225+'DOE25'!L243-F14-G14</f>
        <v>266395.24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354123.88</v>
      </c>
      <c r="D15" s="20">
        <f>'DOE25'!L208+'DOE25'!L226+'DOE25'!L244-F15-G15</f>
        <v>354123.88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59366.01</v>
      </c>
      <c r="D22" s="243"/>
      <c r="E22" s="243"/>
      <c r="F22" s="255">
        <f>'DOE25'!L255+'DOE25'!L336</f>
        <v>59366.01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78538.75</v>
      </c>
      <c r="D25" s="243"/>
      <c r="E25" s="243"/>
      <c r="F25" s="258"/>
      <c r="G25" s="256"/>
      <c r="H25" s="257">
        <f>'DOE25'!L260+'DOE25'!L261+'DOE25'!L341+'DOE25'!L342</f>
        <v>78538.75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35975.100000000006</v>
      </c>
      <c r="D29" s="20">
        <f>'DOE25'!L358+'DOE25'!L359+'DOE25'!L360-'DOE25'!I367-F29-G29</f>
        <v>35975.100000000006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93633.8</v>
      </c>
      <c r="D31" s="20">
        <f>'DOE25'!L290+'DOE25'!L309+'DOE25'!L328+'DOE25'!L333+'DOE25'!L334+'DOE25'!L335-F31-G31</f>
        <v>92357.62000000001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1276.18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5471605.9400000004</v>
      </c>
      <c r="E33" s="246">
        <f>SUM(E5:E31)</f>
        <v>124414.91999999998</v>
      </c>
      <c r="F33" s="246">
        <f>SUM(F5:F31)</f>
        <v>102010.11</v>
      </c>
      <c r="G33" s="246">
        <f>SUM(G5:G31)</f>
        <v>5342.68</v>
      </c>
      <c r="H33" s="246">
        <f>SUM(H5:H31)</f>
        <v>78538.75</v>
      </c>
    </row>
    <row r="35" spans="2:8" ht="12" thickBot="1" x14ac:dyDescent="0.25">
      <c r="B35" s="253" t="s">
        <v>847</v>
      </c>
      <c r="D35" s="254">
        <f>E33</f>
        <v>124414.91999999998</v>
      </c>
      <c r="E35" s="249"/>
    </row>
    <row r="36" spans="2:8" ht="12" thickTop="1" x14ac:dyDescent="0.2">
      <c r="B36" t="s">
        <v>815</v>
      </c>
      <c r="D36" s="20">
        <f>D33</f>
        <v>5471605.9400000004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3" sqref="C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DUNBARTON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1409142.5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40739.839999999997</v>
      </c>
      <c r="D11" s="95">
        <f>'DOE25'!G12</f>
        <v>507.31</v>
      </c>
      <c r="E11" s="95">
        <f>'DOE25'!H12</f>
        <v>0</v>
      </c>
      <c r="F11" s="95">
        <f>'DOE25'!I12</f>
        <v>0</v>
      </c>
      <c r="G11" s="95">
        <f>'DOE25'!J12</f>
        <v>142792.56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997.04</v>
      </c>
      <c r="E13" s="95">
        <f>'DOE25'!H14</f>
        <v>41962.1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4938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1454820.34</v>
      </c>
      <c r="D18" s="41">
        <f>SUM(D8:D17)</f>
        <v>1504.35</v>
      </c>
      <c r="E18" s="41">
        <f>SUM(E8:E17)</f>
        <v>41962.1</v>
      </c>
      <c r="F18" s="41">
        <f>SUM(F8:F17)</f>
        <v>0</v>
      </c>
      <c r="G18" s="41">
        <f>SUM(G8:G17)</f>
        <v>142792.56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979968.58000000007</v>
      </c>
      <c r="D21" s="95">
        <f>'DOE25'!G22</f>
        <v>0</v>
      </c>
      <c r="E21" s="95">
        <f>'DOE25'!H22</f>
        <v>40739.839999999997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131397.21</v>
      </c>
      <c r="D23" s="95">
        <f>'DOE25'!G24</f>
        <v>1504.35</v>
      </c>
      <c r="E23" s="95">
        <f>'DOE25'!H24</f>
        <v>1222.26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4965.3999999999996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4369.7199999999993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1120700.9099999999</v>
      </c>
      <c r="D31" s="41">
        <f>SUM(D21:D30)</f>
        <v>1504.35</v>
      </c>
      <c r="E31" s="41">
        <f>SUM(E21:E30)</f>
        <v>41962.1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142792.56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333119.4299999997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334119.4299999997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142792.56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1454820.3399999996</v>
      </c>
      <c r="D51" s="41">
        <f>D50+D31</f>
        <v>1504.35</v>
      </c>
      <c r="E51" s="41">
        <f>E50+E31</f>
        <v>41962.1</v>
      </c>
      <c r="F51" s="41">
        <f>F50+F31</f>
        <v>0</v>
      </c>
      <c r="G51" s="41">
        <f>G50+G31</f>
        <v>142792.56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4207217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108.38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527.88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32998.29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23064.26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23172.639999999999</v>
      </c>
      <c r="D62" s="130">
        <f>SUM(D57:D61)</f>
        <v>32998.29</v>
      </c>
      <c r="E62" s="130">
        <f>SUM(E57:E61)</f>
        <v>0</v>
      </c>
      <c r="F62" s="130">
        <f>SUM(F57:F61)</f>
        <v>0</v>
      </c>
      <c r="G62" s="130">
        <f>SUM(G57:G61)</f>
        <v>527.88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4230389.6399999997</v>
      </c>
      <c r="D63" s="22">
        <f>D56+D62</f>
        <v>32998.29</v>
      </c>
      <c r="E63" s="22">
        <f>E56+E62</f>
        <v>0</v>
      </c>
      <c r="F63" s="22">
        <f>F56+F62</f>
        <v>0</v>
      </c>
      <c r="G63" s="22">
        <f>G56+G62</f>
        <v>527.88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680737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664872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1345609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16672.05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10061.85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2642.91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26733.9</v>
      </c>
      <c r="D78" s="130">
        <f>SUM(D72:D77)</f>
        <v>2642.91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1372342.9</v>
      </c>
      <c r="D81" s="130">
        <f>SUM(D79:D80)+D78+D70</f>
        <v>2642.91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59129.9</v>
      </c>
      <c r="D88" s="95">
        <f>SUM('DOE25'!G153:G161)</f>
        <v>13820.27</v>
      </c>
      <c r="E88" s="95">
        <f>SUM('DOE25'!H153:H161)</f>
        <v>93633.8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59129.9</v>
      </c>
      <c r="D91" s="131">
        <f>SUM(D85:D90)</f>
        <v>13820.27</v>
      </c>
      <c r="E91" s="131">
        <f>SUM(E85:E90)</f>
        <v>93633.8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16461.52</v>
      </c>
      <c r="E96" s="95">
        <f>'DOE25'!H179</f>
        <v>0</v>
      </c>
      <c r="F96" s="95">
        <f>'DOE25'!I179</f>
        <v>0</v>
      </c>
      <c r="G96" s="95">
        <f>'DOE25'!J179</f>
        <v>1000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59366.01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59366.01</v>
      </c>
      <c r="D103" s="86">
        <f>SUM(D93:D102)</f>
        <v>16461.52</v>
      </c>
      <c r="E103" s="86">
        <f>SUM(E93:E102)</f>
        <v>0</v>
      </c>
      <c r="F103" s="86">
        <f>SUM(F93:F102)</f>
        <v>0</v>
      </c>
      <c r="G103" s="86">
        <f>SUM(G93:G102)</f>
        <v>1000</v>
      </c>
    </row>
    <row r="104" spans="1:7" ht="12.75" thickTop="1" thickBot="1" x14ac:dyDescent="0.25">
      <c r="A104" s="33" t="s">
        <v>765</v>
      </c>
      <c r="C104" s="86">
        <f>C63+C81+C91+C103</f>
        <v>5721228.4499999993</v>
      </c>
      <c r="D104" s="86">
        <f>D63+D81+D91+D103</f>
        <v>65922.990000000005</v>
      </c>
      <c r="E104" s="86">
        <f>E63+E81+E91+E103</f>
        <v>93633.8</v>
      </c>
      <c r="F104" s="86">
        <f>F63+F81+F91+F103</f>
        <v>0</v>
      </c>
      <c r="G104" s="86">
        <f>G63+G81+G103</f>
        <v>1527.88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3385982.56</v>
      </c>
      <c r="D109" s="24" t="s">
        <v>289</v>
      </c>
      <c r="E109" s="95">
        <f>('DOE25'!L276)+('DOE25'!L295)+('DOE25'!L314)</f>
        <v>38391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629184.09</v>
      </c>
      <c r="D110" s="24" t="s">
        <v>289</v>
      </c>
      <c r="E110" s="95">
        <f>('DOE25'!L277)+('DOE25'!L296)+('DOE25'!L315)</f>
        <v>52644.000000000007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9503.99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4024670.64</v>
      </c>
      <c r="D115" s="86">
        <f>SUM(D109:D114)</f>
        <v>0</v>
      </c>
      <c r="E115" s="86">
        <f>SUM(E109:E114)</f>
        <v>91035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341579.91</v>
      </c>
      <c r="D118" s="24" t="s">
        <v>289</v>
      </c>
      <c r="E118" s="95">
        <f>+('DOE25'!L281)+('DOE25'!L300)+('DOE25'!L319)</f>
        <v>2598.7999999999997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144762.69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177798.78999999998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199152.59000000003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266395.24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354123.88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65922.990000000005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1483813.1</v>
      </c>
      <c r="D128" s="86">
        <f>SUM(D118:D127)</f>
        <v>65922.990000000005</v>
      </c>
      <c r="E128" s="86">
        <f>SUM(E118:E127)</f>
        <v>2598.7999999999997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59366.01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75000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3538.75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59366.01</v>
      </c>
    </row>
    <row r="135" spans="1:7" x14ac:dyDescent="0.2">
      <c r="A135" t="s">
        <v>233</v>
      </c>
      <c r="B135" s="32" t="s">
        <v>234</v>
      </c>
      <c r="C135" s="95">
        <f>'DOE25'!L263</f>
        <v>16461.52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1527.88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-527.88000000000011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155366.28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59366.01</v>
      </c>
    </row>
    <row r="145" spans="1:9" ht="12.75" thickTop="1" thickBot="1" x14ac:dyDescent="0.25">
      <c r="A145" s="33" t="s">
        <v>244</v>
      </c>
      <c r="C145" s="86">
        <f>(C115+C128+C144)</f>
        <v>5663850.0200000005</v>
      </c>
      <c r="D145" s="86">
        <f>(D115+D128+D144)</f>
        <v>65922.990000000005</v>
      </c>
      <c r="E145" s="86">
        <f>(E115+E128+E144)</f>
        <v>93633.8</v>
      </c>
      <c r="F145" s="86">
        <f>(F115+F128+F144)</f>
        <v>0</v>
      </c>
      <c r="G145" s="86">
        <f>(G115+G128+G144)</f>
        <v>59366.01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12/06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01/17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487000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4.75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112000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112000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75000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75000</v>
      </c>
    </row>
    <row r="159" spans="1:9" x14ac:dyDescent="0.2">
      <c r="A159" s="22" t="s">
        <v>35</v>
      </c>
      <c r="B159" s="137">
        <f>'DOE25'!F498</f>
        <v>37000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37000</v>
      </c>
    </row>
    <row r="160" spans="1:9" x14ac:dyDescent="0.2">
      <c r="A160" s="22" t="s">
        <v>36</v>
      </c>
      <c r="B160" s="137">
        <f>'DOE25'!F499</f>
        <v>878.75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878.75</v>
      </c>
    </row>
    <row r="161" spans="1:7" x14ac:dyDescent="0.2">
      <c r="A161" s="22" t="s">
        <v>37</v>
      </c>
      <c r="B161" s="137">
        <f>'DOE25'!F500</f>
        <v>37878.75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37878.75</v>
      </c>
    </row>
    <row r="162" spans="1:7" x14ac:dyDescent="0.2">
      <c r="A162" s="22" t="s">
        <v>38</v>
      </c>
      <c r="B162" s="137">
        <f>'DOE25'!F501</f>
        <v>37000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37000</v>
      </c>
    </row>
    <row r="163" spans="1:7" x14ac:dyDescent="0.2">
      <c r="A163" s="22" t="s">
        <v>39</v>
      </c>
      <c r="B163" s="137">
        <f>'DOE25'!F502</f>
        <v>878.75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878.75</v>
      </c>
    </row>
    <row r="164" spans="1:7" x14ac:dyDescent="0.2">
      <c r="A164" s="22" t="s">
        <v>246</v>
      </c>
      <c r="B164" s="137">
        <f>'DOE25'!F503</f>
        <v>37878.75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37878.75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DUNBARTON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15830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15830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3424374</v>
      </c>
      <c r="D10" s="182">
        <f>ROUND((C10/$C$28)*100,1)</f>
        <v>60.7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681828</v>
      </c>
      <c r="D11" s="182">
        <f>ROUND((C11/$C$28)*100,1)</f>
        <v>12.1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9504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344179</v>
      </c>
      <c r="D15" s="182">
        <f t="shared" ref="D15:D27" si="0">ROUND((C15/$C$28)*100,1)</f>
        <v>6.1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144763</v>
      </c>
      <c r="D16" s="182">
        <f t="shared" si="0"/>
        <v>2.6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177799</v>
      </c>
      <c r="D17" s="182">
        <f t="shared" si="0"/>
        <v>3.2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199153</v>
      </c>
      <c r="D18" s="182">
        <f t="shared" si="0"/>
        <v>3.5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266395</v>
      </c>
      <c r="D20" s="182">
        <f t="shared" si="0"/>
        <v>4.7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354124</v>
      </c>
      <c r="D21" s="182">
        <f t="shared" si="0"/>
        <v>6.3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3539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32924.71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5638582.71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59366</v>
      </c>
    </row>
    <row r="30" spans="1:4" x14ac:dyDescent="0.2">
      <c r="B30" s="187" t="s">
        <v>729</v>
      </c>
      <c r="C30" s="180">
        <f>SUM(C28:C29)</f>
        <v>5697948.71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75000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4207217</v>
      </c>
      <c r="D35" s="182">
        <f t="shared" ref="D35:D40" si="1">ROUND((C35/$C$41)*100,1)</f>
        <v>72.900000000000006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23700.519999999553</v>
      </c>
      <c r="D36" s="182">
        <f t="shared" si="1"/>
        <v>0.4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1345609</v>
      </c>
      <c r="D37" s="182">
        <f t="shared" si="1"/>
        <v>23.3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29377</v>
      </c>
      <c r="D38" s="182">
        <f t="shared" si="1"/>
        <v>0.5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166584</v>
      </c>
      <c r="D39" s="182">
        <f t="shared" si="1"/>
        <v>2.9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5772487.5199999996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770</v>
      </c>
      <c r="B1" s="296"/>
      <c r="C1" s="296"/>
      <c r="D1" s="296"/>
      <c r="E1" s="296"/>
      <c r="F1" s="296"/>
      <c r="G1" s="296"/>
      <c r="H1" s="296"/>
      <c r="I1" s="296"/>
      <c r="J1" s="213"/>
      <c r="K1" s="213"/>
      <c r="L1" s="213"/>
      <c r="M1" s="214"/>
    </row>
    <row r="2" spans="1:26" ht="12.75" x14ac:dyDescent="0.2">
      <c r="A2" s="301" t="s">
        <v>767</v>
      </c>
      <c r="B2" s="302"/>
      <c r="C2" s="302"/>
      <c r="D2" s="302"/>
      <c r="E2" s="302"/>
      <c r="F2" s="299" t="str">
        <f>'DOE25'!A2</f>
        <v>DUNBARTON SCHOOL DISTRICT</v>
      </c>
      <c r="G2" s="300"/>
      <c r="H2" s="300"/>
      <c r="I2" s="30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7" t="s">
        <v>771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75" t="s">
        <v>915</v>
      </c>
      <c r="B4" s="219">
        <v>2</v>
      </c>
      <c r="C4" s="286" t="s">
        <v>916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 t="s">
        <v>917</v>
      </c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7"/>
      <c r="AB29" s="207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7"/>
      <c r="AO29" s="207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7"/>
      <c r="BB29" s="207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7"/>
      <c r="BO29" s="207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7"/>
      <c r="CB29" s="207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7"/>
      <c r="CO29" s="207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7"/>
      <c r="DB29" s="207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7"/>
      <c r="DO29" s="207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7"/>
      <c r="EB29" s="207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7"/>
      <c r="EO29" s="207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7"/>
      <c r="FB29" s="207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7"/>
      <c r="FO29" s="207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7"/>
      <c r="GB29" s="207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7"/>
      <c r="GO29" s="207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7"/>
      <c r="HB29" s="207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7"/>
      <c r="HO29" s="207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7"/>
      <c r="IB29" s="207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7"/>
      <c r="IO29" s="207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7"/>
      <c r="AB30" s="207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7"/>
      <c r="AO30" s="207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7"/>
      <c r="BB30" s="207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7"/>
      <c r="BO30" s="207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7"/>
      <c r="CB30" s="207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7"/>
      <c r="CO30" s="207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7"/>
      <c r="DB30" s="207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7"/>
      <c r="DO30" s="207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7"/>
      <c r="EB30" s="207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7"/>
      <c r="EO30" s="207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7"/>
      <c r="FB30" s="207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7"/>
      <c r="FO30" s="207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7"/>
      <c r="GB30" s="207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7"/>
      <c r="GO30" s="207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7"/>
      <c r="HB30" s="207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7"/>
      <c r="HO30" s="207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7"/>
      <c r="IB30" s="207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7"/>
      <c r="IO30" s="207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7"/>
      <c r="AB31" s="207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7"/>
      <c r="AO31" s="207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7"/>
      <c r="BB31" s="207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7"/>
      <c r="BO31" s="207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7"/>
      <c r="CB31" s="207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7"/>
      <c r="CO31" s="207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7"/>
      <c r="DB31" s="207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7"/>
      <c r="DO31" s="207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7"/>
      <c r="EB31" s="207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7"/>
      <c r="EO31" s="207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7"/>
      <c r="FB31" s="207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7"/>
      <c r="FO31" s="207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7"/>
      <c r="GB31" s="207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7"/>
      <c r="GO31" s="207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7"/>
      <c r="HB31" s="207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7"/>
      <c r="HO31" s="207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7"/>
      <c r="IB31" s="207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7"/>
      <c r="IO31" s="207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7"/>
      <c r="AB38" s="207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7"/>
      <c r="AO38" s="207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7"/>
      <c r="BB38" s="207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7"/>
      <c r="BO38" s="207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7"/>
      <c r="CB38" s="207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7"/>
      <c r="CO38" s="207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7"/>
      <c r="DB38" s="207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7"/>
      <c r="DO38" s="207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7"/>
      <c r="EB38" s="207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7"/>
      <c r="EO38" s="207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7"/>
      <c r="FB38" s="207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7"/>
      <c r="FO38" s="207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7"/>
      <c r="GB38" s="207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7"/>
      <c r="GO38" s="207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7"/>
      <c r="HB38" s="207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7"/>
      <c r="HO38" s="207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7"/>
      <c r="IB38" s="207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7"/>
      <c r="IO38" s="207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7"/>
      <c r="AB39" s="207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7"/>
      <c r="AO39" s="207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7"/>
      <c r="BB39" s="207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7"/>
      <c r="BO39" s="207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7"/>
      <c r="CB39" s="207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7"/>
      <c r="CO39" s="207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7"/>
      <c r="DB39" s="207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7"/>
      <c r="DO39" s="207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7"/>
      <c r="EB39" s="207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7"/>
      <c r="EO39" s="207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7"/>
      <c r="FB39" s="207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7"/>
      <c r="FO39" s="207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7"/>
      <c r="GB39" s="207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7"/>
      <c r="GO39" s="207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7"/>
      <c r="HB39" s="207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7"/>
      <c r="HO39" s="207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7"/>
      <c r="IB39" s="207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7"/>
      <c r="IO39" s="207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7"/>
      <c r="AB40" s="207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7"/>
      <c r="AO40" s="207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7"/>
      <c r="BB40" s="207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7"/>
      <c r="BO40" s="207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7"/>
      <c r="CB40" s="207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7"/>
      <c r="CO40" s="207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7"/>
      <c r="DB40" s="207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7"/>
      <c r="DO40" s="207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7"/>
      <c r="EB40" s="207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7"/>
      <c r="EO40" s="207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7"/>
      <c r="FB40" s="207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7"/>
      <c r="FO40" s="207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7"/>
      <c r="GB40" s="207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7"/>
      <c r="GO40" s="207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7"/>
      <c r="HB40" s="207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7"/>
      <c r="HO40" s="207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7"/>
      <c r="IB40" s="207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7"/>
      <c r="IO40" s="207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0" t="s">
        <v>848</v>
      </c>
      <c r="B72" s="290"/>
      <c r="C72" s="290"/>
      <c r="D72" s="290"/>
      <c r="E72" s="29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1"/>
      <c r="B74" s="211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1"/>
      <c r="B75" s="211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1"/>
      <c r="B76" s="211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1"/>
      <c r="B77" s="211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1"/>
      <c r="B78" s="211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1"/>
      <c r="B79" s="211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1"/>
      <c r="B80" s="211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1"/>
      <c r="B81" s="211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1"/>
      <c r="B82" s="211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1"/>
      <c r="B83" s="211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1"/>
      <c r="B84" s="211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1"/>
      <c r="B85" s="211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1"/>
      <c r="B86" s="211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1"/>
      <c r="B87" s="211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1"/>
      <c r="B88" s="211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1"/>
      <c r="B89" s="211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1"/>
      <c r="B90" s="211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2016-09-01T15:17:26Z</cp:lastPrinted>
  <dcterms:created xsi:type="dcterms:W3CDTF">1997-12-04T19:04:30Z</dcterms:created>
  <dcterms:modified xsi:type="dcterms:W3CDTF">2016-12-20T16:00:53Z</dcterms:modified>
</cp:coreProperties>
</file>