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8800" windowHeight="118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34" i="1" l="1"/>
  <c r="H216" i="1"/>
  <c r="H198" i="1"/>
  <c r="F472" i="1" l="1"/>
  <c r="H22" i="1"/>
  <c r="F468" i="1" l="1"/>
  <c r="J604" i="1"/>
  <c r="I604" i="1"/>
  <c r="H604" i="1"/>
  <c r="H320" i="1"/>
  <c r="H472" i="1"/>
  <c r="I314" i="1"/>
  <c r="G314" i="1"/>
  <c r="F314" i="1"/>
  <c r="I319" i="1"/>
  <c r="G613" i="1"/>
  <c r="G612" i="1"/>
  <c r="G611" i="1"/>
  <c r="F613" i="1"/>
  <c r="F612" i="1"/>
  <c r="F611" i="1"/>
  <c r="J592" i="1"/>
  <c r="J591" i="1"/>
  <c r="I591" i="1"/>
  <c r="H591" i="1"/>
  <c r="I557" i="1"/>
  <c r="H557" i="1"/>
  <c r="G557" i="1"/>
  <c r="F557" i="1"/>
  <c r="G564" i="1"/>
  <c r="F564" i="1"/>
  <c r="G563" i="1"/>
  <c r="F563" i="1"/>
  <c r="G562" i="1"/>
  <c r="F562" i="1"/>
  <c r="C39" i="12"/>
  <c r="B39" i="12"/>
  <c r="B21" i="12"/>
  <c r="B20" i="12"/>
  <c r="B19" i="12"/>
  <c r="B10" i="12"/>
  <c r="F440" i="1" l="1"/>
  <c r="H528" i="1"/>
  <c r="J528" i="1"/>
  <c r="I528" i="1"/>
  <c r="G528" i="1"/>
  <c r="F528" i="1"/>
  <c r="J523" i="1"/>
  <c r="I523" i="1"/>
  <c r="H523" i="1"/>
  <c r="G523" i="1"/>
  <c r="F523" i="1"/>
  <c r="J527" i="1"/>
  <c r="I527" i="1"/>
  <c r="G527" i="1"/>
  <c r="F527" i="1"/>
  <c r="H527" i="1"/>
  <c r="G522" i="1"/>
  <c r="I522" i="1"/>
  <c r="H522" i="1"/>
  <c r="F522" i="1"/>
  <c r="J522" i="1"/>
  <c r="H538" i="1"/>
  <c r="H537" i="1"/>
  <c r="H536" i="1"/>
  <c r="K533" i="1"/>
  <c r="J533" i="1"/>
  <c r="I533" i="1"/>
  <c r="H533" i="1"/>
  <c r="G533" i="1"/>
  <c r="F533" i="1"/>
  <c r="K532" i="1"/>
  <c r="J532" i="1"/>
  <c r="I532" i="1"/>
  <c r="H532" i="1"/>
  <c r="G532" i="1"/>
  <c r="F532" i="1"/>
  <c r="K531" i="1"/>
  <c r="J531" i="1"/>
  <c r="I531" i="1"/>
  <c r="H531" i="1"/>
  <c r="G531" i="1"/>
  <c r="F531" i="1"/>
  <c r="J526" i="1"/>
  <c r="H526" i="1"/>
  <c r="I526" i="1"/>
  <c r="G526" i="1"/>
  <c r="F526" i="1"/>
  <c r="I521" i="1"/>
  <c r="G521" i="1"/>
  <c r="F521" i="1"/>
  <c r="H521" i="1"/>
  <c r="J521" i="1"/>
  <c r="H468" i="1" l="1"/>
  <c r="F321" i="1"/>
  <c r="F320" i="1"/>
  <c r="K344" i="1"/>
  <c r="F315" i="1"/>
  <c r="I321" i="1"/>
  <c r="I320" i="1"/>
  <c r="J320" i="1"/>
  <c r="F319" i="1"/>
  <c r="I301" i="1"/>
  <c r="F302" i="1"/>
  <c r="I302" i="1"/>
  <c r="H301" i="1"/>
  <c r="F301" i="1"/>
  <c r="J301" i="1"/>
  <c r="F300" i="1"/>
  <c r="F295" i="1"/>
  <c r="H282" i="1"/>
  <c r="F282" i="1"/>
  <c r="I282" i="1"/>
  <c r="F276" i="1"/>
  <c r="J282" i="1"/>
  <c r="F281" i="1"/>
  <c r="J277" i="1"/>
  <c r="H368" i="1" l="1"/>
  <c r="G368" i="1"/>
  <c r="H367" i="1"/>
  <c r="G367" i="1"/>
  <c r="F368" i="1"/>
  <c r="F367" i="1"/>
  <c r="J359" i="1"/>
  <c r="F358" i="1"/>
  <c r="H360" i="1"/>
  <c r="F502" i="1"/>
  <c r="J239" i="1" l="1"/>
  <c r="J221" i="1"/>
  <c r="J203" i="1"/>
  <c r="G215" i="1" l="1"/>
  <c r="G233" i="1"/>
  <c r="G197" i="1"/>
  <c r="G241" i="1"/>
  <c r="G205" i="1"/>
  <c r="G238" i="1"/>
  <c r="G220" i="1"/>
  <c r="G202" i="1"/>
  <c r="F238" i="1"/>
  <c r="F233" i="1"/>
  <c r="F220" i="1"/>
  <c r="F215" i="1"/>
  <c r="F202" i="1"/>
  <c r="F197" i="1"/>
  <c r="J243" i="1" l="1"/>
  <c r="I243" i="1"/>
  <c r="H243" i="1"/>
  <c r="G243" i="1"/>
  <c r="F243" i="1"/>
  <c r="I225" i="1"/>
  <c r="H225" i="1"/>
  <c r="G225" i="1"/>
  <c r="F225" i="1"/>
  <c r="J207" i="1"/>
  <c r="I207" i="1"/>
  <c r="H207" i="1"/>
  <c r="F207" i="1"/>
  <c r="G207" i="1"/>
  <c r="K240" i="1"/>
  <c r="J240" i="1"/>
  <c r="I240" i="1"/>
  <c r="H240" i="1"/>
  <c r="G240" i="1"/>
  <c r="F240" i="1"/>
  <c r="K222" i="1"/>
  <c r="J222" i="1"/>
  <c r="I222" i="1"/>
  <c r="H222" i="1"/>
  <c r="G222" i="1"/>
  <c r="F222" i="1"/>
  <c r="K204" i="1"/>
  <c r="J204" i="1"/>
  <c r="I204" i="1"/>
  <c r="H204" i="1"/>
  <c r="G204" i="1"/>
  <c r="F204" i="1"/>
  <c r="K239" i="1"/>
  <c r="I239" i="1"/>
  <c r="H239" i="1"/>
  <c r="G239" i="1"/>
  <c r="F239" i="1"/>
  <c r="I221" i="1"/>
  <c r="H221" i="1"/>
  <c r="G221" i="1"/>
  <c r="F221" i="1"/>
  <c r="K203" i="1"/>
  <c r="I203" i="1"/>
  <c r="H203" i="1"/>
  <c r="G203" i="1"/>
  <c r="F203" i="1"/>
  <c r="J238" i="1"/>
  <c r="I238" i="1"/>
  <c r="H238" i="1"/>
  <c r="J220" i="1"/>
  <c r="I220" i="1"/>
  <c r="H220" i="1"/>
  <c r="J202" i="1"/>
  <c r="I202" i="1"/>
  <c r="H202" i="1"/>
  <c r="H233" i="1"/>
  <c r="I234" i="1"/>
  <c r="G234" i="1"/>
  <c r="F234" i="1"/>
  <c r="I216" i="1"/>
  <c r="G216" i="1"/>
  <c r="F216" i="1"/>
  <c r="I198" i="1"/>
  <c r="G198" i="1"/>
  <c r="F198" i="1"/>
  <c r="G236" i="1" l="1"/>
  <c r="F236" i="1"/>
  <c r="G218" i="1"/>
  <c r="F218" i="1"/>
  <c r="K241" i="1"/>
  <c r="I241" i="1"/>
  <c r="H241" i="1"/>
  <c r="F241" i="1"/>
  <c r="K236" i="1"/>
  <c r="J236" i="1"/>
  <c r="I236" i="1"/>
  <c r="H236" i="1"/>
  <c r="H235" i="1"/>
  <c r="J234" i="1"/>
  <c r="J233" i="1"/>
  <c r="I233" i="1"/>
  <c r="K223" i="1"/>
  <c r="I223" i="1"/>
  <c r="H223" i="1"/>
  <c r="G223" i="1"/>
  <c r="F223" i="1"/>
  <c r="K218" i="1"/>
  <c r="J218" i="1"/>
  <c r="I218" i="1"/>
  <c r="H218" i="1"/>
  <c r="J216" i="1"/>
  <c r="J215" i="1"/>
  <c r="I215" i="1"/>
  <c r="H215" i="1"/>
  <c r="I197" i="1"/>
  <c r="I205" i="1"/>
  <c r="H205" i="1"/>
  <c r="F205" i="1"/>
  <c r="I200" i="1"/>
  <c r="G200" i="1"/>
  <c r="F200" i="1"/>
  <c r="J198" i="1"/>
  <c r="J197" i="1"/>
  <c r="H161" i="1" l="1"/>
  <c r="H159" i="1"/>
  <c r="H155" i="1"/>
  <c r="G158" i="1"/>
  <c r="G132" i="1"/>
  <c r="G97" i="1"/>
  <c r="F110" i="1"/>
  <c r="F63" i="1"/>
  <c r="G48" i="1"/>
  <c r="G22" i="1"/>
  <c r="F12" i="1" l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2" i="10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C123" i="2" s="1"/>
  <c r="L243" i="1"/>
  <c r="F15" i="13"/>
  <c r="G15" i="13"/>
  <c r="L208" i="1"/>
  <c r="G649" i="1" s="1"/>
  <c r="J649" i="1" s="1"/>
  <c r="L226" i="1"/>
  <c r="G662" i="1" s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D29" i="13" s="1"/>
  <c r="C29" i="13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E110" i="2" s="1"/>
  <c r="L316" i="1"/>
  <c r="L317" i="1"/>
  <c r="L319" i="1"/>
  <c r="L320" i="1"/>
  <c r="E119" i="2" s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132" i="2" s="1"/>
  <c r="L341" i="1"/>
  <c r="L342" i="1"/>
  <c r="L255" i="1"/>
  <c r="F22" i="13" s="1"/>
  <c r="C22" i="13" s="1"/>
  <c r="L336" i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3" i="1" s="1"/>
  <c r="C138" i="2" s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1" i="10"/>
  <c r="C13" i="10"/>
  <c r="C19" i="10"/>
  <c r="L250" i="1"/>
  <c r="L332" i="1"/>
  <c r="L254" i="1"/>
  <c r="L268" i="1"/>
  <c r="L269" i="1"/>
  <c r="L349" i="1"/>
  <c r="L350" i="1"/>
  <c r="I665" i="1"/>
  <c r="I670" i="1"/>
  <c r="H662" i="1"/>
  <c r="I669" i="1"/>
  <c r="C42" i="10"/>
  <c r="C32" i="10"/>
  <c r="L374" i="1"/>
  <c r="L375" i="1"/>
  <c r="L376" i="1"/>
  <c r="L377" i="1"/>
  <c r="L378" i="1"/>
  <c r="L379" i="1"/>
  <c r="F130" i="2" s="1"/>
  <c r="L380" i="1"/>
  <c r="B2" i="10"/>
  <c r="L344" i="1"/>
  <c r="L351" i="1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2" i="2"/>
  <c r="E112" i="2"/>
  <c r="C113" i="2"/>
  <c r="E113" i="2"/>
  <c r="C114" i="2"/>
  <c r="E114" i="2"/>
  <c r="D115" i="2"/>
  <c r="F115" i="2"/>
  <c r="G115" i="2"/>
  <c r="E120" i="2"/>
  <c r="E121" i="2"/>
  <c r="C122" i="2"/>
  <c r="E122" i="2"/>
  <c r="E123" i="2"/>
  <c r="E124" i="2"/>
  <c r="C125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H408" i="1" s="1"/>
  <c r="H644" i="1" s="1"/>
  <c r="J644" i="1" s="1"/>
  <c r="I393" i="1"/>
  <c r="I408" i="1" s="1"/>
  <c r="F401" i="1"/>
  <c r="G401" i="1"/>
  <c r="H401" i="1"/>
  <c r="I401" i="1"/>
  <c r="F407" i="1"/>
  <c r="G407" i="1"/>
  <c r="H407" i="1"/>
  <c r="I407" i="1"/>
  <c r="F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F452" i="1"/>
  <c r="G452" i="1"/>
  <c r="H452" i="1"/>
  <c r="I452" i="1"/>
  <c r="F460" i="1"/>
  <c r="G460" i="1"/>
  <c r="H460" i="1"/>
  <c r="H461" i="1" s="1"/>
  <c r="H641" i="1" s="1"/>
  <c r="I460" i="1"/>
  <c r="I461" i="1" s="1"/>
  <c r="H642" i="1" s="1"/>
  <c r="F461" i="1"/>
  <c r="H639" i="1" s="1"/>
  <c r="G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K524" i="1"/>
  <c r="L524" i="1"/>
  <c r="F529" i="1"/>
  <c r="G529" i="1"/>
  <c r="H529" i="1"/>
  <c r="I529" i="1"/>
  <c r="J529" i="1"/>
  <c r="J545" i="1" s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L570" i="1" s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H640" i="1"/>
  <c r="G641" i="1"/>
  <c r="J641" i="1" s="1"/>
  <c r="G642" i="1"/>
  <c r="G643" i="1"/>
  <c r="J643" i="1" s="1"/>
  <c r="H643" i="1"/>
  <c r="G644" i="1"/>
  <c r="G645" i="1"/>
  <c r="H647" i="1"/>
  <c r="G650" i="1"/>
  <c r="G652" i="1"/>
  <c r="H652" i="1"/>
  <c r="G653" i="1"/>
  <c r="H653" i="1"/>
  <c r="G654" i="1"/>
  <c r="H654" i="1"/>
  <c r="H655" i="1"/>
  <c r="C26" i="10"/>
  <c r="A31" i="12"/>
  <c r="C70" i="2"/>
  <c r="D62" i="2"/>
  <c r="D63" i="2" s="1"/>
  <c r="D18" i="13"/>
  <c r="C18" i="13" s="1"/>
  <c r="D17" i="13"/>
  <c r="C17" i="13" s="1"/>
  <c r="F78" i="2"/>
  <c r="F81" i="2" s="1"/>
  <c r="C78" i="2"/>
  <c r="D50" i="2"/>
  <c r="F18" i="2"/>
  <c r="E103" i="2"/>
  <c r="D91" i="2"/>
  <c r="G62" i="2"/>
  <c r="D19" i="13"/>
  <c r="C19" i="13" s="1"/>
  <c r="E13" i="13"/>
  <c r="C13" i="13" s="1"/>
  <c r="E78" i="2"/>
  <c r="E81" i="2" s="1"/>
  <c r="H112" i="1"/>
  <c r="L433" i="1"/>
  <c r="I169" i="1"/>
  <c r="F169" i="1"/>
  <c r="J140" i="1"/>
  <c r="G22" i="2"/>
  <c r="K545" i="1"/>
  <c r="C29" i="10"/>
  <c r="H140" i="1"/>
  <c r="L401" i="1"/>
  <c r="C139" i="2" s="1"/>
  <c r="J640" i="1"/>
  <c r="G192" i="1"/>
  <c r="H192" i="1"/>
  <c r="F552" i="1"/>
  <c r="E16" i="13"/>
  <c r="G36" i="2"/>
  <c r="L565" i="1"/>
  <c r="C16" i="13"/>
  <c r="J655" i="1" l="1"/>
  <c r="K352" i="1"/>
  <c r="J651" i="1"/>
  <c r="F476" i="1"/>
  <c r="H622" i="1" s="1"/>
  <c r="J622" i="1" s="1"/>
  <c r="L382" i="1"/>
  <c r="G636" i="1" s="1"/>
  <c r="J636" i="1" s="1"/>
  <c r="I476" i="1"/>
  <c r="H625" i="1" s="1"/>
  <c r="J625" i="1" s="1"/>
  <c r="G338" i="1"/>
  <c r="G352" i="1" s="1"/>
  <c r="L614" i="1"/>
  <c r="K598" i="1"/>
  <c r="G647" i="1" s="1"/>
  <c r="J647" i="1" s="1"/>
  <c r="F571" i="1"/>
  <c r="L560" i="1"/>
  <c r="L571" i="1" s="1"/>
  <c r="J639" i="1"/>
  <c r="A13" i="12"/>
  <c r="K551" i="1"/>
  <c r="J552" i="1"/>
  <c r="K550" i="1"/>
  <c r="L544" i="1"/>
  <c r="I552" i="1"/>
  <c r="K549" i="1"/>
  <c r="L539" i="1"/>
  <c r="H552" i="1"/>
  <c r="H545" i="1"/>
  <c r="G545" i="1"/>
  <c r="G552" i="1"/>
  <c r="L529" i="1"/>
  <c r="J476" i="1"/>
  <c r="H626" i="1" s="1"/>
  <c r="H476" i="1"/>
  <c r="H624" i="1" s="1"/>
  <c r="G476" i="1"/>
  <c r="H623" i="1" s="1"/>
  <c r="J623" i="1" s="1"/>
  <c r="G408" i="1"/>
  <c r="H645" i="1" s="1"/>
  <c r="J645" i="1" s="1"/>
  <c r="L328" i="1"/>
  <c r="J338" i="1"/>
  <c r="J352" i="1" s="1"/>
  <c r="H338" i="1"/>
  <c r="H352" i="1" s="1"/>
  <c r="L309" i="1"/>
  <c r="E118" i="2"/>
  <c r="E128" i="2" s="1"/>
  <c r="F338" i="1"/>
  <c r="F352" i="1" s="1"/>
  <c r="L290" i="1"/>
  <c r="E109" i="2"/>
  <c r="E115" i="2" s="1"/>
  <c r="C10" i="10"/>
  <c r="J634" i="1"/>
  <c r="G661" i="1"/>
  <c r="D127" i="2"/>
  <c r="D128" i="2" s="1"/>
  <c r="D145" i="2" s="1"/>
  <c r="F661" i="1"/>
  <c r="L362" i="1"/>
  <c r="C27" i="10" s="1"/>
  <c r="H661" i="1"/>
  <c r="G157" i="2"/>
  <c r="K503" i="1"/>
  <c r="G164" i="2"/>
  <c r="G161" i="2"/>
  <c r="L256" i="1"/>
  <c r="C25" i="10"/>
  <c r="H25" i="13"/>
  <c r="C17" i="10"/>
  <c r="E8" i="13"/>
  <c r="C8" i="13" s="1"/>
  <c r="C119" i="2"/>
  <c r="C16" i="10"/>
  <c r="D7" i="13"/>
  <c r="C7" i="13" s="1"/>
  <c r="D14" i="13"/>
  <c r="C14" i="13" s="1"/>
  <c r="L247" i="1"/>
  <c r="H660" i="1" s="1"/>
  <c r="K257" i="1"/>
  <c r="K271" i="1" s="1"/>
  <c r="C111" i="2"/>
  <c r="J257" i="1"/>
  <c r="J271" i="1" s="1"/>
  <c r="H257" i="1"/>
  <c r="H271" i="1" s="1"/>
  <c r="C18" i="10"/>
  <c r="C118" i="2"/>
  <c r="L229" i="1"/>
  <c r="C110" i="2"/>
  <c r="I257" i="1"/>
  <c r="I271" i="1" s="1"/>
  <c r="C109" i="2"/>
  <c r="C124" i="2"/>
  <c r="F662" i="1"/>
  <c r="I662" i="1" s="1"/>
  <c r="C21" i="10"/>
  <c r="D15" i="13"/>
  <c r="C15" i="13" s="1"/>
  <c r="C20" i="10"/>
  <c r="C121" i="2"/>
  <c r="D12" i="13"/>
  <c r="C12" i="13" s="1"/>
  <c r="D6" i="13"/>
  <c r="C6" i="13" s="1"/>
  <c r="L211" i="1"/>
  <c r="C15" i="10"/>
  <c r="G257" i="1"/>
  <c r="G271" i="1" s="1"/>
  <c r="F257" i="1"/>
  <c r="F271" i="1" s="1"/>
  <c r="D5" i="13"/>
  <c r="C5" i="13" s="1"/>
  <c r="G156" i="2"/>
  <c r="F192" i="1"/>
  <c r="C81" i="2"/>
  <c r="F112" i="1"/>
  <c r="C36" i="10" s="1"/>
  <c r="C56" i="2"/>
  <c r="C35" i="10"/>
  <c r="H52" i="1"/>
  <c r="H619" i="1" s="1"/>
  <c r="J619" i="1" s="1"/>
  <c r="D18" i="2"/>
  <c r="J617" i="1"/>
  <c r="C18" i="2"/>
  <c r="G624" i="1"/>
  <c r="K500" i="1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A22" i="12"/>
  <c r="G50" i="2"/>
  <c r="G51" i="2" s="1"/>
  <c r="J652" i="1"/>
  <c r="J642" i="1"/>
  <c r="G571" i="1"/>
  <c r="I434" i="1"/>
  <c r="G434" i="1"/>
  <c r="I663" i="1"/>
  <c r="G104" i="2" l="1"/>
  <c r="I193" i="1"/>
  <c r="G630" i="1" s="1"/>
  <c r="J630" i="1" s="1"/>
  <c r="J624" i="1"/>
  <c r="H646" i="1"/>
  <c r="K552" i="1"/>
  <c r="L545" i="1"/>
  <c r="G660" i="1"/>
  <c r="G664" i="1" s="1"/>
  <c r="G672" i="1" s="1"/>
  <c r="C5" i="10" s="1"/>
  <c r="L338" i="1"/>
  <c r="L352" i="1" s="1"/>
  <c r="G633" i="1" s="1"/>
  <c r="J633" i="1" s="1"/>
  <c r="E145" i="2"/>
  <c r="D31" i="13"/>
  <c r="C31" i="13" s="1"/>
  <c r="H664" i="1"/>
  <c r="H667" i="1" s="1"/>
  <c r="G635" i="1"/>
  <c r="J635" i="1" s="1"/>
  <c r="I661" i="1"/>
  <c r="C25" i="13"/>
  <c r="H33" i="13"/>
  <c r="E33" i="13"/>
  <c r="D35" i="13" s="1"/>
  <c r="H648" i="1"/>
  <c r="J648" i="1" s="1"/>
  <c r="C115" i="2"/>
  <c r="C128" i="2"/>
  <c r="L257" i="1"/>
  <c r="L271" i="1" s="1"/>
  <c r="G632" i="1" s="1"/>
  <c r="J632" i="1" s="1"/>
  <c r="F660" i="1"/>
  <c r="F664" i="1" s="1"/>
  <c r="F667" i="1" s="1"/>
  <c r="C28" i="10"/>
  <c r="D24" i="10" s="1"/>
  <c r="C104" i="2"/>
  <c r="F193" i="1"/>
  <c r="G627" i="1" s="1"/>
  <c r="J627" i="1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G667" i="1" l="1"/>
  <c r="H672" i="1"/>
  <c r="C6" i="10" s="1"/>
  <c r="D33" i="13"/>
  <c r="D36" i="13" s="1"/>
  <c r="C145" i="2"/>
  <c r="D13" i="10"/>
  <c r="I660" i="1"/>
  <c r="I664" i="1" s="1"/>
  <c r="I672" i="1" s="1"/>
  <c r="C7" i="10" s="1"/>
  <c r="D26" i="10"/>
  <c r="D22" i="10"/>
  <c r="F672" i="1"/>
  <c r="C4" i="10" s="1"/>
  <c r="D11" i="10"/>
  <c r="D10" i="10"/>
  <c r="D21" i="10"/>
  <c r="C30" i="10"/>
  <c r="D16" i="10"/>
  <c r="D23" i="10"/>
  <c r="D20" i="10"/>
  <c r="D15" i="10"/>
  <c r="D25" i="10"/>
  <c r="D19" i="10"/>
  <c r="D27" i="10"/>
  <c r="D18" i="10"/>
  <c r="D17" i="10"/>
  <c r="D12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<sst xmlns="http://schemas.openxmlformats.org/spreadsheetml/2006/main" count="3960" uniqueCount="918">
  <si>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</si>
  <si>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</si>
  <si>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</si>
  <si>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</si>
  <si>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</si>
  <si>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</si>
  <si>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</si>
  <si>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</si>
  <si>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</si>
  <si>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</si>
  <si>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</si>
  <si>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</si>
  <si>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</si>
  <si>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</si>
  <si>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</si>
  <si>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</si>
  <si>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</si>
  <si>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</si>
  <si>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</si>
  <si>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</si>
  <si>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</si>
  <si>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</si>
  <si>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</si>
  <si>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</si>
  <si>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</si>
  <si>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</si>
  <si>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</si>
  <si>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</si>
  <si>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</si>
  <si>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</si>
  <si>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</si>
  <si>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</si>
  <si>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</si>
  <si>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</si>
  <si>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</si>
  <si>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</si>
  <si>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</si>
  <si>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</si>
  <si>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</si>
  <si>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</si>
  <si>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</si>
  <si>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</si>
  <si>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</si>
  <si>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</si>
  <si>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</si>
  <si>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</si>
  <si>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</si>
  <si>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</si>
  <si>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</si>
  <si>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</si>
  <si>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</si>
  <si>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</si>
  <si>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</si>
  <si>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</si>
  <si>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</si>
  <si>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</si>
  <si>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</si>
  <si>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</si>
  <si>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</si>
  <si>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</si>
  <si>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</si>
  <si>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</si>
  <si>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</si>
  <si>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</si>
  <si>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</si>
  <si>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</si>
  <si>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</si>
  <si>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</si>
  <si>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</si>
  <si>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</si>
  <si>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</si>
  <si>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</si>
  <si>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</si>
  <si>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</si>
  <si>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</si>
  <si>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</si>
  <si>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</si>
  <si>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</si>
  <si>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</si>
  <si>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</si>
  <si>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</si>
  <si>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</si>
  <si>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</si>
  <si>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</si>
  <si>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</si>
  <si>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</si>
  <si>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</si>
  <si>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</si>
  <si>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</si>
  <si>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</si>
  <si>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</si>
  <si>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</si>
  <si>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</si>
  <si>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</si>
  <si>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</si>
  <si>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</si>
  <si>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</si>
  <si>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</si>
  <si>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</si>
  <si>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</si>
  <si>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</si>
  <si>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</si>
  <si>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</si>
  <si>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</si>
  <si>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</si>
  <si>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</si>
  <si>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</si>
  <si>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</si>
  <si>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</si>
  <si>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</si>
  <si>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</si>
  <si>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</si>
  <si>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</si>
  <si>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</si>
  <si>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</si>
  <si>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</si>
  <si>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</si>
  <si>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</si>
  <si>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</si>
  <si>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</si>
  <si>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</si>
  <si>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</si>
  <si>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</si>
  <si>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</si>
  <si>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</si>
  <si>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</si>
  <si>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</si>
  <si>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</si>
  <si>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</si>
  <si>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</si>
  <si>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</si>
  <si>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</si>
  <si>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</si>
  <si>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</si>
  <si>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</si>
  <si>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</si>
  <si>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</si>
  <si>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</si>
  <si>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</si>
  <si>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</si>
  <si>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</si>
  <si>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</si>
  <si>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</si>
  <si>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</si>
  <si>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</si>
  <si>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</si>
  <si>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</si>
  <si>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</si>
  <si>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</si>
  <si>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</si>
  <si>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</si>
  <si>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</si>
  <si>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</si>
  <si>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</si>
  <si>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</si>
  <si>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</si>
  <si>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</si>
  <si>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</si>
  <si>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</si>
  <si>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</si>
  <si>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</si>
  <si>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</si>
  <si>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</si>
  <si>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</si>
  <si>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</si>
  <si>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</si>
  <si>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</si>
  <si>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</si>
  <si>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</si>
  <si>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</si>
  <si>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</si>
  <si>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</si>
  <si>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</si>
  <si>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</si>
  <si>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</si>
  <si>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</si>
  <si>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</si>
  <si>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</si>
  <si>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</si>
  <si>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</si>
  <si>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</si>
  <si>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</si>
  <si>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</si>
  <si>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</si>
  <si>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</si>
  <si>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</si>
  <si>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</si>
  <si>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</si>
  <si>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</si>
  <si>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</si>
  <si>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</si>
  <si>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</si>
  <si>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</si>
  <si>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</si>
  <si>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</si>
  <si>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</si>
  <si>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</si>
  <si>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</si>
  <si>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</si>
  <si>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</si>
  <si>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</si>
  <si>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</si>
  <si>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</si>
  <si>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</si>
  <si>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</si>
  <si>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</si>
  <si>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</si>
  <si>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</si>
  <si>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</si>
  <si>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</si>
  <si>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</si>
  <si>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</si>
  <si>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</si>
  <si>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</si>
  <si>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</si>
  <si>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</si>
  <si>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</si>
  <si>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</si>
  <si>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</si>
  <si>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</si>
  <si>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</si>
  <si>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</si>
  <si>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</si>
  <si>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</si>
  <si>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</si>
  <si>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</si>
  <si>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</si>
  <si>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</si>
  <si>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</si>
  <si>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</si>
  <si>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</si>
  <si>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</si>
  <si>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</si>
  <si>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</si>
  <si>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</si>
  <si>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</si>
  <si>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</si>
  <si>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</si>
  <si>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</si>
  <si>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</si>
  <si>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</si>
  <si>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</si>
  <si>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</si>
  <si>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</si>
  <si>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</si>
  <si>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</si>
  <si>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</si>
  <si>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</si>
  <si>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</si>
  <si>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</si>
  <si>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</si>
  <si>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</si>
  <si>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</si>
  <si>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</si>
  <si>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</si>
  <si>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</si>
  <si>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</si>
  <si>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</si>
  <si>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</si>
  <si>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</si>
  <si>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</si>
  <si>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</si>
  <si>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</si>
  <si>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</si>
  <si>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</si>
  <si>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</si>
  <si>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</si>
  <si>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</si>
  <si>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</si>
  <si>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</si>
  <si>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</si>
  <si>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</si>
  <si>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</si>
  <si>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</si>
  <si>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</si>
  <si>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</si>
  <si>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</si>
  <si>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</si>
  <si>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</si>
  <si>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</si>
  <si>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</si>
  <si>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</si>
  <si>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</si>
  <si>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</si>
  <si>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</si>
  <si>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</si>
  <si>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</si>
  <si>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</si>
  <si>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</si>
  <si>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</si>
  <si>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</si>
  <si>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</si>
  <si>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</si>
  <si>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</si>
  <si>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</si>
  <si>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</si>
  <si>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</si>
  <si>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</si>
  <si>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</si>
  <si>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</si>
  <si>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</si>
  <si>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</si>
  <si>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</si>
  <si>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</si>
  <si>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</si>
  <si>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</si>
  <si>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</si>
  <si>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</si>
  <si>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</si>
  <si>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</si>
  <si>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</si>
  <si>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</si>
  <si>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</si>
  <si>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</si>
  <si>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</si>
  <si>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</si>
  <si>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</si>
  <si>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</si>
  <si>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</si>
  <si>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</si>
  <si>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</si>
  <si>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</si>
  <si>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</si>
  <si>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</si>
  <si>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</si>
  <si>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</si>
  <si>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</si>
  <si>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</si>
  <si>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</si>
  <si>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</si>
  <si>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</si>
  <si>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</si>
  <si>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</si>
  <si>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</si>
  <si>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</si>
  <si>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</si>
  <si>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</si>
  <si>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</si>
  <si>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</si>
  <si>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</si>
  <si>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</si>
  <si>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</si>
  <si>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</si>
  <si>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</si>
  <si>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</si>
  <si>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</si>
  <si>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</si>
  <si>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</si>
  <si>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</si>
  <si>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</si>
  <si>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</si>
  <si>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</si>
  <si>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</si>
  <si>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</si>
  <si>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</si>
  <si>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</si>
  <si>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</si>
  <si>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</si>
  <si>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</si>
  <si>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</si>
  <si>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</si>
  <si>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</si>
  <si>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</si>
  <si>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</si>
  <si>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</si>
  <si>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</si>
  <si>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</si>
  <si>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</si>
  <si>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</si>
  <si>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</si>
  <si>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</si>
  <si>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</si>
  <si>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</si>
  <si>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</si>
  <si>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</si>
  <si>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</si>
  <si>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</si>
  <si>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</si>
  <si>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</si>
  <si>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</si>
  <si>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</si>
  <si>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</si>
  <si>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</si>
  <si>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</si>
  <si>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</si>
  <si>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</si>
  <si>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</si>
  <si>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</si>
  <si>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</si>
  <si>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</si>
  <si>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</si>
  <si>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</si>
  <si>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</si>
  <si>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</si>
  <si>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</si>
  <si>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</si>
  <si>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</si>
  <si>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</si>
  <si>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</si>
  <si>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</si>
  <si>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</si>
  <si>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</si>
  <si>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</si>
  <si>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</si>
  <si>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</si>
  <si>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</si>
  <si>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</si>
  <si>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</si>
  <si>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</si>
  <si>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</si>
  <si>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</si>
  <si>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</si>
  <si>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</si>
  <si>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</si>
  <si>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</si>
  <si>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</si>
  <si>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</si>
  <si>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</si>
  <si>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</si>
  <si>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</si>
  <si>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</si>
  <si>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</si>
  <si>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</si>
  <si>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</si>
  <si>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</si>
  <si>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</si>
  <si>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</si>
  <si>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</si>
  <si>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</si>
  <si>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</si>
  <si>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</si>
  <si>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</si>
  <si>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</si>
  <si>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</si>
  <si>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</si>
  <si>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</si>
  <si>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</si>
  <si>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</si>
  <si>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</si>
  <si>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</si>
  <si>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</si>
  <si>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</si>
  <si>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</si>
  <si>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</si>
  <si>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</si>
  <si>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</si>
  <si>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</si>
  <si>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</si>
  <si>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</si>
  <si>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</si>
  <si>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</si>
  <si>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</si>
  <si>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</si>
  <si>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</si>
  <si>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</si>
  <si>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</si>
  <si>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</si>
  <si>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</si>
  <si>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</si>
  <si>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</si>
  <si>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</si>
  <si>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</si>
  <si>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</si>
  <si>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</si>
  <si>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</si>
  <si>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</si>
  <si>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</si>
  <si>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</si>
  <si>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</si>
  <si>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</si>
  <si>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</si>
  <si>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</si>
  <si>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</si>
  <si>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</si>
  <si>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</si>
  <si>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</si>
  <si>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</si>
  <si>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</si>
  <si>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</si>
  <si>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</si>
  <si>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</si>
  <si>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</si>
  <si>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</si>
  <si>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</si>
  <si>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</si>
  <si>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</si>
  <si>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</si>
  <si>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</si>
  <si>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</si>
  <si>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</si>
  <si>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</si>
  <si>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</si>
  <si>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</si>
  <si>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</si>
  <si>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</si>
  <si>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</si>
  <si>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</si>
  <si>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</si>
  <si>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</si>
  <si>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</si>
  <si>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</si>
  <si>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</si>
  <si>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</si>
  <si>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</si>
  <si>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</si>
  <si>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</si>
  <si>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</si>
  <si>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</si>
  <si>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</si>
  <si>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</si>
  <si>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</si>
  <si>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</si>
  <si>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</si>
  <si>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</si>
  <si>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</si>
  <si>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</si>
  <si>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</si>
  <si>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</si>
  <si>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</si>
  <si>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</si>
  <si>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</si>
  <si>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</si>
  <si>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</si>
  <si>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</si>
  <si>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</si>
  <si>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</si>
  <si>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</si>
  <si>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</si>
  <si>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</si>
  <si>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</si>
  <si>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</si>
  <si>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</si>
  <si>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</si>
  <si>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</si>
  <si>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</si>
  <si>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</si>
  <si>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</si>
  <si>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</si>
  <si>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</si>
  <si>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</si>
  <si>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</si>
  <si>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</si>
  <si>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</si>
  <si>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</si>
  <si>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</si>
  <si>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</si>
  <si>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</si>
  <si>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</si>
  <si>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</si>
  <si>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</si>
  <si>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</si>
  <si>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</si>
  <si>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</si>
  <si>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</si>
  <si>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</si>
  <si>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</si>
  <si>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</si>
  <si>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</si>
  <si>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</si>
  <si>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</si>
  <si>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</si>
  <si>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</si>
  <si>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</si>
  <si>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</si>
  <si>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</si>
  <si>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</si>
  <si>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</si>
  <si>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</si>
  <si>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</si>
  <si>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</si>
  <si>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</si>
  <si>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</si>
  <si>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</si>
  <si>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</si>
  <si>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</si>
  <si>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</si>
  <si>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</si>
  <si>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</si>
  <si>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</si>
  <si>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</si>
  <si>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</si>
  <si>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</si>
  <si>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</si>
  <si>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</si>
  <si>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</si>
  <si>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</si>
  <si>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</si>
  <si>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</si>
  <si>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</si>
  <si>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</si>
  <si>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</si>
  <si>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</si>
  <si>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</si>
  <si>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</si>
  <si>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</si>
  <si>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</si>
  <si>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</si>
  <si>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</si>
  <si>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</si>
  <si>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</si>
  <si>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</si>
  <si>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</si>
  <si>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</si>
  <si>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</si>
  <si>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</si>
  <si>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</si>
  <si>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</si>
  <si>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</si>
  <si>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</si>
  <si>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</si>
  <si>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</si>
  <si>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</si>
  <si>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</si>
  <si>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</si>
  <si>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</si>
  <si>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</si>
  <si>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</si>
  <si>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</si>
  <si>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</si>
  <si>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</si>
  <si>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</si>
  <si>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</si>
  <si>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</si>
  <si>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</si>
  <si>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</si>
  <si>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</si>
  <si>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</si>
  <si>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</si>
  <si>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</si>
  <si>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</si>
  <si>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</si>
  <si>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</si>
  <si>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</si>
  <si>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</si>
  <si>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</si>
  <si>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</si>
  <si>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</si>
  <si>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</si>
  <si>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</si>
  <si>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</si>
  <si>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</si>
  <si>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</si>
  <si>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</si>
  <si>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</si>
  <si>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</si>
  <si>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</si>
  <si>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</si>
  <si>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</si>
  <si>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</si>
  <si>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</si>
  <si>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</si>
  <si>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</si>
  <si>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</si>
  <si>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</si>
  <si>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</si>
  <si>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</si>
  <si>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</si>
  <si>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</si>
  <si>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</si>
  <si>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</si>
  <si>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</si>
  <si>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</si>
  <si>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</si>
  <si>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</si>
  <si>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</si>
  <si>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</si>
  <si>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</si>
  <si>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</si>
  <si>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</si>
  <si>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</si>
  <si>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</si>
  <si>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</si>
  <si>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</si>
  <si>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</si>
  <si>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</si>
  <si>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</si>
  <si>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</si>
  <si>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</si>
  <si>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</si>
  <si>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</si>
  <si>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</si>
  <si>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</si>
  <si>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</si>
  <si>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</si>
  <si>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</si>
  <si>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</si>
  <si>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</si>
  <si>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</si>
  <si>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</si>
  <si>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</si>
  <si>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</si>
  <si>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</si>
  <si>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</si>
  <si>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</si>
  <si>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</si>
  <si>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</si>
  <si>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</si>
  <si>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</si>
  <si>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</si>
  <si>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</si>
  <si>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</si>
  <si>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</si>
  <si>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</si>
  <si>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</si>
  <si>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</si>
  <si>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</si>
  <si>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</si>
  <si>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</si>
  <si>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</si>
  <si>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</si>
  <si>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</si>
  <si>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</si>
  <si>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</si>
  <si>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</si>
  <si>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</si>
  <si>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</si>
  <si>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</si>
  <si>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</si>
  <si>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</si>
  <si>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</si>
  <si>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</si>
  <si>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</si>
  <si>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</si>
  <si>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</si>
  <si>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</si>
  <si>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</si>
  <si>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</si>
  <si>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</si>
  <si>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</si>
  <si>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</si>
  <si>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</si>
  <si>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</si>
  <si>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</si>
  <si>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</si>
  <si>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</si>
  <si>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</si>
  <si>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</si>
  <si>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</si>
  <si>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</si>
  <si>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</si>
  <si>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</si>
  <si>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</si>
  <si>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</si>
  <si>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</si>
  <si>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</si>
  <si>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</si>
  <si>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</si>
  <si>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</si>
  <si>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</si>
  <si>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</si>
  <si>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</si>
  <si>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</si>
  <si>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</si>
  <si>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</si>
  <si>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</si>
  <si>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</si>
  <si>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</si>
  <si>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</si>
  <si>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</si>
  <si>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</si>
  <si>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</si>
  <si>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</si>
  <si>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</si>
  <si>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</si>
  <si>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</si>
  <si>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</si>
  <si>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</si>
  <si>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</si>
  <si>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</si>
  <si>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</si>
  <si>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</si>
  <si>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</si>
  <si>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</si>
  <si>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</si>
  <si>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</si>
  <si>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</si>
  <si>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</si>
  <si>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</si>
  <si>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</si>
  <si>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</si>
  <si>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</si>
  <si>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</si>
  <si>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</si>
  <si>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</si>
  <si>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</si>
  <si>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</si>
  <si>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</si>
  <si>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</si>
  <si>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</si>
  <si>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</si>
  <si>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</si>
  <si>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</si>
  <si>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</si>
  <si>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</si>
  <si>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</si>
  <si>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</si>
  <si>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</si>
  <si>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</si>
  <si>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</si>
  <si>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</si>
  <si>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</si>
  <si>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</si>
  <si>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</si>
  <si>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</si>
  <si>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</si>
  <si>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</si>
  <si>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</si>
  <si>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</si>
  <si>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</si>
  <si>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</si>
  <si>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</si>
  <si>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</si>
  <si>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</si>
  <si>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</si>
  <si>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</si>
  <si>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</si>
  <si>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</si>
  <si>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</si>
  <si>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</si>
  <si>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</si>
  <si>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</si>
  <si>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</si>
  <si>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</si>
  <si>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</si>
  <si>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</si>
  <si>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</si>
  <si>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</si>
  <si>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</si>
  <si>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</si>
  <si>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</si>
  <si>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</si>
  <si>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</si>
  <si>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</si>
  <si>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</si>
  <si>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</si>
  <si>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</si>
  <si>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</si>
  <si>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</si>
  <si>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</si>
  <si>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</si>
  <si>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</si>
  <si>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</si>
  <si>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</si>
  <si>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</si>
  <si>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</si>
  <si>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</si>
  <si>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</si>
  <si>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</si>
  <si>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</si>
  <si>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</si>
  <si>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</si>
  <si>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</si>
  <si>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</si>
  <si>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</si>
  <si>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</si>
  <si>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</si>
  <si>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</si>
  <si>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</si>
  <si>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</si>
  <si>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</si>
  <si>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</si>
  <si>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</si>
  <si>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</si>
  <si>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</si>
  <si>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</si>
  <si>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</si>
  <si>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</si>
  <si>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</si>
  <si>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</si>
  <si>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</si>
  <si>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</si>
  <si>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</si>
  <si>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</si>
  <si>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</si>
  <si>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</si>
  <si>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</si>
  <si>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</si>
  <si>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</si>
  <si>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</si>
  <si>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</si>
  <si>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</si>
  <si>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</si>
  <si>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</si>
  <si>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</si>
  <si>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</si>
  <si>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</si>
  <si>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</si>
  <si>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</si>
  <si>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</si>
  <si>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</si>
  <si>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</si>
  <si>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</si>
  <si>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</si>
  <si>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</si>
  <si>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</si>
  <si>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</si>
  <si>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</si>
  <si>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</si>
  <si>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</si>
  <si>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</si>
  <si>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</si>
  <si>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</si>
  <si>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</si>
  <si>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</si>
  <si>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</si>
  <si>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</si>
  <si>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</si>
  <si>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</si>
  <si>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</si>
  <si>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</si>
  <si>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</si>
  <si>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</si>
  <si>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08/15</t>
  </si>
  <si>
    <t>08/25</t>
  </si>
  <si>
    <t>Epping School District</t>
  </si>
  <si>
    <t>Write-off A/P not paid 2014-15</t>
  </si>
  <si>
    <t>180k In Impact Fees received from the Town of Epping  and 215K in reimbursement from Health Trust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</si>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</sst>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165</v>
      </c>
      <c r="C2" s="21">
        <v>165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478730.86+200</f>
        <v>478930.86</v>
      </c>
      <c r="G9" s="18">
        <v>389372.31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95842.17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330812.71+163953.9</f>
        <v>494766.61</v>
      </c>
      <c r="G12" s="18"/>
      <c r="H12" s="18">
        <v>9237.2199999999993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101366.89</v>
      </c>
      <c r="G13" s="18">
        <v>9114.39</v>
      </c>
      <c r="H13" s="18">
        <v>181793.11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15988.32</v>
      </c>
      <c r="G14" s="18">
        <v>553.95000000000005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44172.35</v>
      </c>
      <c r="G17" s="18">
        <v>1784</v>
      </c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1135225.03</v>
      </c>
      <c r="G19" s="41">
        <f>SUM(G9:G18)</f>
        <v>400824.65</v>
      </c>
      <c r="H19" s="41">
        <f>SUM(H9:H18)</f>
        <v>191030.33</v>
      </c>
      <c r="I19" s="41">
        <f>SUM(I9:I18)</f>
        <v>0</v>
      </c>
      <c r="J19" s="41">
        <f>SUM(J9:J18)</f>
        <v>95842.17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9237.2199999999993</v>
      </c>
      <c r="G22" s="18">
        <f>330812.71+97.5</f>
        <v>330910.21000000002</v>
      </c>
      <c r="H22" s="18">
        <f>163953.9-97.5-156.57</f>
        <v>163699.82999999999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252920.42</v>
      </c>
      <c r="G24" s="18"/>
      <c r="H24" s="18">
        <v>736.87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270276.17</v>
      </c>
      <c r="G28" s="18">
        <v>4477.79</v>
      </c>
      <c r="H28" s="18">
        <v>17356.41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180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532613.81000000006</v>
      </c>
      <c r="G32" s="41">
        <f>SUM(G22:G31)</f>
        <v>335388</v>
      </c>
      <c r="H32" s="41">
        <f>SUM(H22:H31)</f>
        <v>181793.11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200000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f>63386.92+2049.73</f>
        <v>65436.65</v>
      </c>
      <c r="H48" s="18">
        <v>9237.2199999999993</v>
      </c>
      <c r="I48" s="18"/>
      <c r="J48" s="13">
        <f>SUM(I459)</f>
        <v>95842.17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352611.22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602611.22</v>
      </c>
      <c r="G51" s="41">
        <f>SUM(G35:G50)</f>
        <v>65436.65</v>
      </c>
      <c r="H51" s="41">
        <f>SUM(H35:H50)</f>
        <v>9237.2199999999993</v>
      </c>
      <c r="I51" s="41">
        <f>SUM(I35:I50)</f>
        <v>0</v>
      </c>
      <c r="J51" s="41">
        <f>SUM(J35:J50)</f>
        <v>95842.17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1135225.03</v>
      </c>
      <c r="G52" s="41">
        <f>G51+G32</f>
        <v>400824.65</v>
      </c>
      <c r="H52" s="41">
        <f>H51+H32</f>
        <v>191030.33</v>
      </c>
      <c r="I52" s="41">
        <f>I51+I32</f>
        <v>0</v>
      </c>
      <c r="J52" s="41">
        <f>J51+J32</f>
        <v>95842.17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11720474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11720474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23380+103450</f>
        <v>126830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1020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9937.0400000000009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11159.35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148946.39000000001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122.22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75677.78+75506.94+4191.75+5376.25+3951.98+51040.6</f>
        <v>215745.30000000002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23920.77+180000+215119.9</f>
        <v>419040.67</v>
      </c>
      <c r="G110" s="18"/>
      <c r="H110" s="18">
        <v>7800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419240.67</v>
      </c>
      <c r="G111" s="41">
        <f>SUM(G96:G110)</f>
        <v>215745.30000000002</v>
      </c>
      <c r="H111" s="41">
        <f>SUM(H96:H110)</f>
        <v>7800</v>
      </c>
      <c r="I111" s="41">
        <f>SUM(I96:I110)</f>
        <v>0</v>
      </c>
      <c r="J111" s="41">
        <f>SUM(J96:J110)</f>
        <v>122.22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12288661.060000001</v>
      </c>
      <c r="G112" s="41">
        <f>G60+G111</f>
        <v>215745.30000000002</v>
      </c>
      <c r="H112" s="41">
        <f>H60+H79+H94+H111</f>
        <v>7800</v>
      </c>
      <c r="I112" s="41">
        <f>I60+I111</f>
        <v>0</v>
      </c>
      <c r="J112" s="41">
        <f>J60+J111</f>
        <v>122.22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3290613.68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1578972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6756.31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4876341.9899999993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243874.6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155545.69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12376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4993.99+608.34</f>
        <v>5602.33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411796.29000000004</v>
      </c>
      <c r="G136" s="41">
        <f>SUM(G123:G135)</f>
        <v>5602.33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5288138.2799999993</v>
      </c>
      <c r="G140" s="41">
        <f>G121+SUM(G136:G137)</f>
        <v>5602.33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136840.51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8000+50832.62+1950+19342.42</f>
        <v>80125.040000000008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111340.35+27762.4</f>
        <v>139102.75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235203.93+7326.09</f>
        <v>242530.02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199768.65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20438.22</v>
      </c>
      <c r="H161" s="18">
        <f>3360.6+10000+269.8</f>
        <v>13630.4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199768.65</v>
      </c>
      <c r="G162" s="41">
        <f>SUM(G150:G161)</f>
        <v>159540.97</v>
      </c>
      <c r="H162" s="41">
        <f>SUM(H150:H161)</f>
        <v>473125.97000000003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199768.65</v>
      </c>
      <c r="G169" s="41">
        <f>G147+G162+SUM(G163:G168)</f>
        <v>159540.97</v>
      </c>
      <c r="H169" s="41">
        <f>H147+H162+SUM(H163:H168)</f>
        <v>473125.97000000003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54486.400000000001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54486.400000000001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54486.400000000001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17831054.389999997</v>
      </c>
      <c r="G193" s="47">
        <f>G112+G140+G169+G192</f>
        <v>380888.6</v>
      </c>
      <c r="H193" s="47">
        <f>H112+H140+H169+H192</f>
        <v>480925.97000000003</v>
      </c>
      <c r="I193" s="47">
        <f>I112+I140+I169+I192</f>
        <v>0</v>
      </c>
      <c r="J193" s="47">
        <f>J112+J140+J192</f>
        <v>122.22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1377495.12+48374.75+207976+78925.9+20000+14279.76</f>
        <v>1747051.53</v>
      </c>
      <c r="G197" s="18">
        <f>346319.04+16030.95+114155.82+209869.38+55265.64+2077.92+21385.95+33418.21+4446.83+3905.88+2055.71+17332.69+23486.61</f>
        <v>849750.62999999977</v>
      </c>
      <c r="H197" s="18"/>
      <c r="I197" s="18">
        <f>4160.08+6058.27+4844.73+4724.19+4760.07+6018.89+952.03+1055.67+2552.22+2565.94+4438+2250+2472.01+14512.2+2320.68+2677.11+3184.99+693+1373.85+1940.31+2440.93+3452.65+2927.97+2116.8+7069.88+5536.88+2400</f>
        <v>99499.35</v>
      </c>
      <c r="J197" s="18">
        <f>2528.34+2393+619.39+1738.18</f>
        <v>7278.9100000000008</v>
      </c>
      <c r="K197" s="18"/>
      <c r="L197" s="19">
        <f>SUM(F197:K197)</f>
        <v>2703580.42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267690.42+293179.83+87624.79+81942.63+9209.12+27824.76+14233.54+20959.76</f>
        <v>802664.85000000009</v>
      </c>
      <c r="G198" s="18">
        <f>166359.91+3498.74+40188.51+232.41+41975.29+70914.36+1923.36+12525.31+15718.8+8473.73+261.38+5507.47+1058.92+3422.72</f>
        <v>372060.90999999992</v>
      </c>
      <c r="H198" s="18">
        <f>2389.29</f>
        <v>2389.29</v>
      </c>
      <c r="I198" s="18">
        <f>4500+800+350+1500+150+264.5+3200+627.76+62.8+1850.76</f>
        <v>13305.82</v>
      </c>
      <c r="J198" s="18">
        <f>2100+300+1200</f>
        <v>3600</v>
      </c>
      <c r="K198" s="18"/>
      <c r="L198" s="19">
        <f>SUM(F198:K198)</f>
        <v>1194020.8700000001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23505+4900</f>
        <v>28405</v>
      </c>
      <c r="G200" s="18">
        <f>226.44+1895.5+24.12+101.81</f>
        <v>2247.87</v>
      </c>
      <c r="H200" s="18">
        <v>5000</v>
      </c>
      <c r="I200" s="18">
        <f>1227.15</f>
        <v>1227.1500000000001</v>
      </c>
      <c r="J200" s="18"/>
      <c r="K200" s="18"/>
      <c r="L200" s="19">
        <f>SUM(F200:K200)</f>
        <v>36880.019999999997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93802+63836.2+21808.02+806+2345+40710.22+108782.47+55900.13+1162.79+3333.33+10000+2516.67</f>
        <v>405002.83</v>
      </c>
      <c r="G202" s="18">
        <f>17443.01+558.12+6862.72+14995.8+25991.9+538.92+6154.83+10609.24+61.65+2368.46+179.4+4885.54+270.69+3405.85+4560.49+29875.91+1268.94+8658.1+29.39+18509.06+15523.05+541.38+4111.08+8991.1+255</f>
        <v>186649.63</v>
      </c>
      <c r="H202" s="18">
        <f>60+15999.29+485+7255.5+17761.69</f>
        <v>41561.479999999996</v>
      </c>
      <c r="I202" s="18">
        <f>710.41+218.24+1313.59+400+1717.9+1638.97+29.35+242.5+1212.5+196.43+121.25+363.75+191.72+418.35+190.21</f>
        <v>8965.17</v>
      </c>
      <c r="J202" s="18">
        <f>300.45+421.5+1838.77+905.4</f>
        <v>3466.1200000000003</v>
      </c>
      <c r="K202" s="18"/>
      <c r="L202" s="19">
        <f t="shared" ref="L202:L208" si="0">SUM(F202:K202)</f>
        <v>645645.23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2154+9336.72+59384+72599.36</f>
        <v>143474.08000000002</v>
      </c>
      <c r="G203" s="18">
        <f>1141.64+23.49+8721.5+558.12+4414.54+9607.05+901.58+5.04+49.59+13669.73+12574.91+16081.38+543.58+5333.89+8109.32</f>
        <v>81735.360000000015</v>
      </c>
      <c r="H203" s="18">
        <f>1656.71+9275.25+107.13+3906.07+937.79+876.44+11668.19</f>
        <v>28427.579999999994</v>
      </c>
      <c r="I203" s="18">
        <f>1054.38+3293.02+805.1+4104.06+5576.65+6745.33+4594.18+9100.54</f>
        <v>35273.26</v>
      </c>
      <c r="J203" s="18">
        <f>1900+200+800+50875.31+17152.53+12125+8892.68+4538.04</f>
        <v>96483.559999999983</v>
      </c>
      <c r="K203" s="18">
        <f>162.45</f>
        <v>162.44999999999999</v>
      </c>
      <c r="L203" s="19">
        <f t="shared" si="0"/>
        <v>385556.29000000004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5092.5+145.5+1697.5+145.5+727.5+109040.56+1746+45745.2+1940+44044.79+34589.17</f>
        <v>244914.22000000003</v>
      </c>
      <c r="G204" s="18">
        <f>595.91+19+18205.14+1570.62+11559.2+15977.14+1891.5+1356.39+15362.14+1182.23+6158.39+2059.14+6977.83+198.85+28.38</f>
        <v>83141.86</v>
      </c>
      <c r="H204" s="18">
        <f>1079.13+1730.99+767.23+1607.84+7078.58+1776.61+359.47+12125+3231.9+2340.42+994.25+1781.65+4400.54+291+43.9+1213.07</f>
        <v>40821.58</v>
      </c>
      <c r="I204" s="18">
        <f>5684.14+81.48+4030.91+631.41+1018.5</f>
        <v>11446.439999999999</v>
      </c>
      <c r="J204" s="18">
        <f>657.66</f>
        <v>657.66</v>
      </c>
      <c r="K204" s="18">
        <f>2227.61+1585.34+414.4+1266.82-1164.25+521.38</f>
        <v>4851.2999999999993</v>
      </c>
      <c r="L204" s="19">
        <f t="shared" si="0"/>
        <v>385833.06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100582+71606+16250+87218.63</f>
        <v>275656.63</v>
      </c>
      <c r="G205" s="18">
        <f>84253.6+2145.21+19921.49+9690.3+27706.76+731.32+1000+6000</f>
        <v>151448.68000000002</v>
      </c>
      <c r="H205" s="18">
        <f>14856.34+7291.16+1649.85+371.66</f>
        <v>24169.01</v>
      </c>
      <c r="I205" s="18">
        <f>4050.34+1938.5</f>
        <v>5988.84</v>
      </c>
      <c r="J205" s="18">
        <v>687</v>
      </c>
      <c r="K205" s="18">
        <v>1824.1</v>
      </c>
      <c r="L205" s="19">
        <f t="shared" si="0"/>
        <v>459774.26000000007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121009.78+91533.8</f>
        <v>212543.58000000002</v>
      </c>
      <c r="G207" s="18">
        <f>77322.12+2727.63+8615.97+13510.2+25999.03+1278.48+6728.3+7094.87</f>
        <v>143276.59999999998</v>
      </c>
      <c r="H207" s="18">
        <f>19400+11933.44+8726.12+13948.48+29646.99+3595.21+780.59+45207.78+4999.96+332.23+6850.02+62820.27+1447.65+29273.15+566.41</f>
        <v>239528.3</v>
      </c>
      <c r="I207" s="18">
        <f>27934.57+110951.2+72977.6+1427.49</f>
        <v>213290.86</v>
      </c>
      <c r="J207" s="18">
        <f>10292.48</f>
        <v>10292.48</v>
      </c>
      <c r="K207" s="18"/>
      <c r="L207" s="19">
        <f t="shared" si="0"/>
        <v>818931.82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195388.43</v>
      </c>
      <c r="I208" s="18"/>
      <c r="J208" s="18"/>
      <c r="K208" s="18"/>
      <c r="L208" s="19">
        <f t="shared" si="0"/>
        <v>195388.43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3859712.72</v>
      </c>
      <c r="G211" s="41">
        <f t="shared" si="1"/>
        <v>1870311.5399999996</v>
      </c>
      <c r="H211" s="41">
        <f t="shared" si="1"/>
        <v>577285.66999999993</v>
      </c>
      <c r="I211" s="41">
        <f t="shared" si="1"/>
        <v>388996.89</v>
      </c>
      <c r="J211" s="41">
        <f t="shared" si="1"/>
        <v>122465.72999999998</v>
      </c>
      <c r="K211" s="41">
        <f t="shared" si="1"/>
        <v>6837.8499999999985</v>
      </c>
      <c r="L211" s="41">
        <f t="shared" si="1"/>
        <v>6825610.3999999994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923143.3+15693.3+559.48</f>
        <v>939396.08000000007</v>
      </c>
      <c r="G215" s="18">
        <f>286401.79+11601.98+67122.58+147040.74+2108.81+42.84+8219.63+11137.98+999.89</f>
        <v>534676.24</v>
      </c>
      <c r="H215" s="18">
        <f>513.05+259.75+1636+75+218.5</f>
        <v>2702.3</v>
      </c>
      <c r="I215" s="18">
        <f>8637.83+1485.58+371.56+1486.49+627.69+1834.18+475.43+2064+337+1825+44.25+981.27+4940+587.06+281+520+26.32+300+229.63+2405</f>
        <v>29459.290000000005</v>
      </c>
      <c r="J215" s="18">
        <f>2374.23+770.36+130+877.45+200+298.11</f>
        <v>4650.1499999999996</v>
      </c>
      <c r="K215" s="18"/>
      <c r="L215" s="19">
        <f>SUM(F215:K215)</f>
        <v>1510884.06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80767.5+216141.04+4367.21+13195.25+6749.93+9939.68</f>
        <v>331160.61000000004</v>
      </c>
      <c r="G216" s="18">
        <f>77442.59+1528.26+27521.53+17467.62+4018.47+123.95+2611.79+502.17+1623.14</f>
        <v>132839.51999999999</v>
      </c>
      <c r="H216" s="18">
        <f>50+1133.07</f>
        <v>1183.07</v>
      </c>
      <c r="I216" s="18">
        <f>2500+47.75+172.97+189.95+297.7+29.78+877.68</f>
        <v>4115.83</v>
      </c>
      <c r="J216" s="18">
        <f>2100</f>
        <v>2100</v>
      </c>
      <c r="K216" s="18"/>
      <c r="L216" s="19">
        <f>SUM(F216:K216)</f>
        <v>471399.03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18453+7584+6022.5+180+22686.1</f>
        <v>54925.599999999999</v>
      </c>
      <c r="G218" s="18">
        <f>1411.15+1022.21+866.07+354.77+1664.62+3120.11</f>
        <v>8438.93</v>
      </c>
      <c r="H218" s="18">
        <f>7474+1500+3800</f>
        <v>12774</v>
      </c>
      <c r="I218" s="18">
        <f>2487.37+336.62</f>
        <v>2823.99</v>
      </c>
      <c r="J218" s="18">
        <f>11491.64+6699.17</f>
        <v>18190.809999999998</v>
      </c>
      <c r="K218" s="18">
        <f>887</f>
        <v>887</v>
      </c>
      <c r="L218" s="19">
        <f>SUM(F218:K218)</f>
        <v>98040.33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26433+26424.1+9780.58+19305.88+51587.56+26509.34+551.43+3333.33+2516.67</f>
        <v>166441.88999999998</v>
      </c>
      <c r="G220" s="18">
        <f>2022.17+8486.59+4128.04+248.36+2721.6+4039.48+2316.85+128.37+1615.15+2162.71+14167.96+601.77+4105.9+13.94+8777.49+7361.44+256.74+1949.59+4263.82+255</f>
        <v>69622.97</v>
      </c>
      <c r="H220" s="18">
        <f>300.38+7587.29+230+3440.75+8423.07</f>
        <v>19981.489999999998</v>
      </c>
      <c r="I220" s="18">
        <f>1026.85+400+1705.35+777.3+519.33+115+575+93.15+57.5+172.5+90.92+198.39+90.2</f>
        <v>5821.49</v>
      </c>
      <c r="J220" s="18">
        <f>3667.05+178+462.79+429.37</f>
        <v>4737.21</v>
      </c>
      <c r="K220" s="18"/>
      <c r="L220" s="19">
        <f t="shared" ref="L220:L226" si="2">SUM(F220:K220)</f>
        <v>266605.05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1077+1419.24+25545.23+10829.37+34428.56</f>
        <v>73299.399999999994</v>
      </c>
      <c r="G221" s="18">
        <f>237.88+47+11566.4+239.82+2609.04+1220.54+4069.81+427.55+2.39+23.52+6482.55+5963.36+7626.22+257.78+2529.47+3845.66</f>
        <v>47148.990000000005</v>
      </c>
      <c r="H221" s="18">
        <f>667.5+785.65+4398.57+50.8+1852.36+444.73+415.63+5533.37</f>
        <v>14148.609999999997</v>
      </c>
      <c r="I221" s="18">
        <f>544.75+2499.13+2734.17+800+1200+2644.6+3198.81+2178.68+4315.72</f>
        <v>20115.86</v>
      </c>
      <c r="J221" s="18">
        <f>802.3+500+939.59+8134.19+5750+4217.15+2152.06</f>
        <v>22495.29</v>
      </c>
      <c r="K221" s="18">
        <v>77.040000000000006</v>
      </c>
      <c r="L221" s="19">
        <f t="shared" si="2"/>
        <v>177285.19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2415+69+805+69+345+51709.96+828+21693.6+920+20887.22+16403.11</f>
        <v>116144.89</v>
      </c>
      <c r="G222" s="18">
        <f>282.6+9.01+8633.37+744.83+5481.68+7576.79+897+643.24+7285.14+560.65+2920.47+976.5+3309.07+94.3+13.46</f>
        <v>39428.110000000008</v>
      </c>
      <c r="H222" s="18">
        <f>511.75+820.88+363.84+762.48+3356.85+842.52+170.47+5750+1532.66+1109.89+471.5+844.91+2086.85+138+20.82+575.27</f>
        <v>19358.689999999999</v>
      </c>
      <c r="I222" s="18">
        <f>2695.57+38.64+1911.57+299.43+483</f>
        <v>5428.21</v>
      </c>
      <c r="J222" s="18">
        <f>311.88</f>
        <v>311.88</v>
      </c>
      <c r="K222" s="18">
        <f>1056.39+751.81+196.52+600.76-552.12+247.25</f>
        <v>2300.61</v>
      </c>
      <c r="L222" s="19">
        <f t="shared" si="2"/>
        <v>182972.38999999998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91160+32231.83+12007.98+68938</f>
        <v>204337.81</v>
      </c>
      <c r="G223" s="18">
        <f>23335.77+3372.62+15256.5+7700.56+20850.1+98.9</f>
        <v>70614.449999999983</v>
      </c>
      <c r="H223" s="18">
        <f>6373.92+5717.24+2000+69</f>
        <v>14160.16</v>
      </c>
      <c r="I223" s="18">
        <f>1968.13</f>
        <v>1968.13</v>
      </c>
      <c r="J223" s="18"/>
      <c r="K223" s="18">
        <f>1219+3000</f>
        <v>4219</v>
      </c>
      <c r="L223" s="19">
        <f t="shared" si="2"/>
        <v>295299.55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84959.25+43407.78</f>
        <v>128367.03</v>
      </c>
      <c r="G225" s="18">
        <f>25087.87+1260.04+6168.92+7942.46+12329.44+606.29+3190.74+3364.58</f>
        <v>59950.340000000004</v>
      </c>
      <c r="H225" s="18">
        <f>9200+5659.16+4138.16+6614.74+14059.4+1704.95+370.18+21438.74+2371.12+157.55+3248.46+29791.06+686.51+13882.11+268.61</f>
        <v>113590.75</v>
      </c>
      <c r="I225" s="18">
        <f>13247.32+52616.04+34607.93+676.95</f>
        <v>101148.24</v>
      </c>
      <c r="J225" s="18">
        <v>4880.97</v>
      </c>
      <c r="K225" s="18"/>
      <c r="L225" s="19">
        <f t="shared" si="2"/>
        <v>407937.32999999996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102107.56</v>
      </c>
      <c r="I226" s="18"/>
      <c r="J226" s="18"/>
      <c r="K226" s="18"/>
      <c r="L226" s="19">
        <f t="shared" si="2"/>
        <v>102107.56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2014073.31</v>
      </c>
      <c r="G229" s="41">
        <f>SUM(G215:G228)</f>
        <v>962719.54999999993</v>
      </c>
      <c r="H229" s="41">
        <f>SUM(H215:H228)</f>
        <v>300006.63</v>
      </c>
      <c r="I229" s="41">
        <f>SUM(I215:I228)</f>
        <v>170881.04</v>
      </c>
      <c r="J229" s="41">
        <f>SUM(J215:J228)</f>
        <v>57366.31</v>
      </c>
      <c r="K229" s="41">
        <f t="shared" si="3"/>
        <v>7483.65</v>
      </c>
      <c r="L229" s="41">
        <f t="shared" si="3"/>
        <v>3512530.49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1232387.6+23541.7+693.26</f>
        <v>1256622.56</v>
      </c>
      <c r="G233" s="18">
        <f>336717.31+16059.14+91579.99+179719.62+2613.09+105.76+1183.09+10185.19+13801.41</f>
        <v>651964.6</v>
      </c>
      <c r="H233" s="18">
        <f>33.27+904.41+268+250+2538.52+1745</f>
        <v>5739.2</v>
      </c>
      <c r="I233" s="18">
        <f>13861.11+10729.32+77.4+6022.83+130.85+3298.44+1003.56+702.94+59.99+3146.28+375.66-71+1383.66+1200+17441.88+1871.97+2495.6+134.51+250+118.35+313.33+928+5990+2281.4+14.99</f>
        <v>73761.070000000022</v>
      </c>
      <c r="J233" s="18">
        <f>2000+8910.66+2402.85+1869.44+630.99+285+2904+500+13147.32+2959.45+425.32+2541</f>
        <v>38576.03</v>
      </c>
      <c r="K233" s="18"/>
      <c r="L233" s="19">
        <f>SUM(F233:K233)</f>
        <v>2026663.4600000002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210359.03+145619.61+5411.54+16350.63+8364.04+12316.56</f>
        <v>398421.41</v>
      </c>
      <c r="G234" s="18">
        <f>66398.05+2077.92+31912.83+32986.69+4979.41+153.59+3236.35+622.25+2011.29</f>
        <v>144378.38</v>
      </c>
      <c r="H234" s="18">
        <f>120819.18+275055.15+391178.35+211933.61+119494.03</f>
        <v>1118480.3199999998</v>
      </c>
      <c r="I234" s="18">
        <f>2700+489.44+1461.05+368.89+36.9+1087.56</f>
        <v>6143.84</v>
      </c>
      <c r="J234" s="18">
        <f>421.46</f>
        <v>421.46</v>
      </c>
      <c r="K234" s="18"/>
      <c r="L234" s="19">
        <f>SUM(F234:K234)</f>
        <v>1667845.41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f>91679</f>
        <v>91679</v>
      </c>
      <c r="I235" s="18"/>
      <c r="J235" s="18"/>
      <c r="K235" s="18"/>
      <c r="L235" s="19">
        <f>SUM(F235:K235)</f>
        <v>91679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61421.93+29596.5+9126.25+1755+2025+28293.9</f>
        <v>132218.57999999999</v>
      </c>
      <c r="G236" s="18">
        <f>4870.93+3089.3+335.43+2741.9+3205.09+2076.1+3891.37</f>
        <v>20210.12</v>
      </c>
      <c r="H236" s="18">
        <f>25460.99+16500+5148.89+624+950.11+981.22</f>
        <v>49665.210000000006</v>
      </c>
      <c r="I236" s="18">
        <f>8917.11+1440</f>
        <v>10357.11</v>
      </c>
      <c r="J236" s="18">
        <f>14887.76+12165.75</f>
        <v>27053.510000000002</v>
      </c>
      <c r="K236" s="18">
        <f>7412.5</f>
        <v>7412.5</v>
      </c>
      <c r="L236" s="19">
        <f>SUM(F236:K236)</f>
        <v>246917.02999999997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84978.99+37544+32955.9+12198.26-0.03+23922.5+62923.72+32848.53+683.29+3333.34+2516.66</f>
        <v>293905.15999999997</v>
      </c>
      <c r="G238" s="18">
        <f>44972.1+1923.36+8742.75+4226.84+26005.28+5148.46+309.76+3394.35+5038.01+2870.88+159.06+2001.38+2679.88+17555.95+745.67+5087.75+17.27+10876.46+9121.79+318.13+2415.79+5283.43+255</f>
        <v>159149.35000000003</v>
      </c>
      <c r="H238" s="18">
        <f>5465+374.63+40154.19+285+2387.37+360+5185.22+1000+4263.54+10437.28+7928.65</f>
        <v>77840.88</v>
      </c>
      <c r="I238" s="18">
        <f>921.7+250+500+2185+2126.9+969.45+647.71+142.5+712.5+115.43+71.25+213.75+112.66+245.83+111.77</f>
        <v>9326.4500000000007</v>
      </c>
      <c r="J238" s="18">
        <f>222+577.18+532.04</f>
        <v>1331.2199999999998</v>
      </c>
      <c r="K238" s="18"/>
      <c r="L238" s="19">
        <f t="shared" ref="L238:L244" si="4">SUM(F238:K238)</f>
        <v>541553.05999999994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1077+2350+31859.78+13506.29+42661.48</f>
        <v>91454.55</v>
      </c>
      <c r="G239" s="18">
        <f>335.06+96+14425.5+299.1+3253.97+1522.24+5075.84+529.8+2.96+29.14+8032.73+7389.38+9449.88+319.43+3134.35+4765.27</f>
        <v>58660.649999999994</v>
      </c>
      <c r="H239" s="18">
        <f>832.5+973.53+5450.4+62.95+2295.32+551.07+515.02+6856.57</f>
        <v>17537.36</v>
      </c>
      <c r="I239" s="18">
        <f>550+3598.31+4811.75+900+1000+3277+3963.75+2699.67+5347.74</f>
        <v>26148.219999999994</v>
      </c>
      <c r="J239" s="18">
        <f>901.69+1300+1164.28+10079.32+7125+5225.59+2666.68</f>
        <v>28462.560000000001</v>
      </c>
      <c r="K239" s="18">
        <f>95.46</f>
        <v>95.46</v>
      </c>
      <c r="L239" s="19">
        <f t="shared" si="4"/>
        <v>222358.8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2992.5+85.5+997.5+85.5+427.5+64075.38+1026+26881.2+1140+25881.99+20325.6</f>
        <v>143918.67000000001</v>
      </c>
      <c r="G240" s="18">
        <f>350.17+11.17+10697.87+922.94+6792.52+9388.63+1111.5+797.05+9027.24+694.71+3618.85+1210.01+4100.37+116.85+16.68</f>
        <v>48856.560000000005</v>
      </c>
      <c r="H240" s="18">
        <f>634.13+1017.18+450.85+944.81+4159.58+1043.99+211.24+7125+1899.16+1375.3+584.25+1046.95+2585.88+171+25.8+712.84</f>
        <v>23987.96</v>
      </c>
      <c r="I240" s="18">
        <f>3340.17+47.88+2368.68+371.04+598.5</f>
        <v>6726.2699999999995</v>
      </c>
      <c r="J240" s="18">
        <f>386.46</f>
        <v>386.46</v>
      </c>
      <c r="K240" s="18">
        <f>744.42-684.15+1309.01+931.59+243.51+306.38</f>
        <v>2850.76</v>
      </c>
      <c r="L240" s="19">
        <f t="shared" si="4"/>
        <v>226726.68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99923+35455.04+18500+67350</f>
        <v>221228.04</v>
      </c>
      <c r="G241" s="18">
        <f>21568.98+2117.35+16903.02+7523.07+19953.05+2010.97+44.62+4316</f>
        <v>74437.06</v>
      </c>
      <c r="H241" s="18">
        <f>10269.44+5855.63+4266.4+384.01</f>
        <v>20775.48</v>
      </c>
      <c r="I241" s="18">
        <f>3457.7</f>
        <v>3457.7</v>
      </c>
      <c r="J241" s="18"/>
      <c r="K241" s="18">
        <f>1078+3675+7551.52</f>
        <v>12304.52</v>
      </c>
      <c r="L241" s="19">
        <f t="shared" si="4"/>
        <v>332202.8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105960.42+53787.9</f>
        <v>159748.32</v>
      </c>
      <c r="G243" s="18">
        <f>31289.37+1571.5+7693.83+9905.77+15277.78+751.27+3953.75+4169.15</f>
        <v>74612.42</v>
      </c>
      <c r="H243" s="18">
        <f>11400+7012.43+5127.72+8196.53+17421.43+2112.65+458.7+26565.39+2938.12+195.23+4025.27+36915+850.68+17201.75+332.84</f>
        <v>140753.74</v>
      </c>
      <c r="I243" s="18">
        <f>16415.16+65198.13+42883.74+838.83</f>
        <v>125335.86</v>
      </c>
      <c r="J243" s="18">
        <f>6048.16</f>
        <v>6048.16</v>
      </c>
      <c r="K243" s="18"/>
      <c r="L243" s="19">
        <f t="shared" si="4"/>
        <v>506498.49999999994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403122.23</v>
      </c>
      <c r="I244" s="18"/>
      <c r="J244" s="18"/>
      <c r="K244" s="18"/>
      <c r="L244" s="19">
        <f t="shared" si="4"/>
        <v>403122.23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2697517.2899999996</v>
      </c>
      <c r="G247" s="41">
        <f t="shared" si="5"/>
        <v>1232269.1399999999</v>
      </c>
      <c r="H247" s="41">
        <f t="shared" si="5"/>
        <v>1949581.38</v>
      </c>
      <c r="I247" s="41">
        <f t="shared" si="5"/>
        <v>261256.52000000002</v>
      </c>
      <c r="J247" s="41">
        <f t="shared" si="5"/>
        <v>102279.40000000001</v>
      </c>
      <c r="K247" s="41">
        <f t="shared" si="5"/>
        <v>22663.24</v>
      </c>
      <c r="L247" s="41">
        <f t="shared" si="5"/>
        <v>6265566.9699999988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81023.399999999994</v>
      </c>
      <c r="I255" s="18"/>
      <c r="J255" s="18"/>
      <c r="K255" s="18"/>
      <c r="L255" s="19">
        <f t="shared" si="6"/>
        <v>81023.399999999994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81023.399999999994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81023.399999999994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8571303.3200000003</v>
      </c>
      <c r="G257" s="41">
        <f t="shared" si="8"/>
        <v>4065300.2299999995</v>
      </c>
      <c r="H257" s="41">
        <f t="shared" si="8"/>
        <v>2907897.0799999996</v>
      </c>
      <c r="I257" s="41">
        <f t="shared" si="8"/>
        <v>821134.45000000007</v>
      </c>
      <c r="J257" s="41">
        <f t="shared" si="8"/>
        <v>282111.44</v>
      </c>
      <c r="K257" s="41">
        <f t="shared" si="8"/>
        <v>36984.74</v>
      </c>
      <c r="L257" s="41">
        <f t="shared" si="8"/>
        <v>16684731.26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575000</v>
      </c>
      <c r="L260" s="19">
        <f>SUM(F260:K260)</f>
        <v>575000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329088.26</v>
      </c>
      <c r="L261" s="19">
        <f>SUM(F261:K261)</f>
        <v>329088.26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904088.26</v>
      </c>
      <c r="L270" s="41">
        <f t="shared" si="9"/>
        <v>904088.26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8571303.3200000003</v>
      </c>
      <c r="G271" s="42">
        <f t="shared" si="11"/>
        <v>4065300.2299999995</v>
      </c>
      <c r="H271" s="42">
        <f t="shared" si="11"/>
        <v>2907897.0799999996</v>
      </c>
      <c r="I271" s="42">
        <f t="shared" si="11"/>
        <v>821134.45000000007</v>
      </c>
      <c r="J271" s="42">
        <f t="shared" si="11"/>
        <v>282111.44</v>
      </c>
      <c r="K271" s="42">
        <f t="shared" si="11"/>
        <v>941073</v>
      </c>
      <c r="L271" s="42">
        <f t="shared" si="11"/>
        <v>17588819.52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4850+120524.01</f>
        <v>125374.01</v>
      </c>
      <c r="G276" s="18"/>
      <c r="H276" s="18"/>
      <c r="I276" s="18"/>
      <c r="J276" s="18"/>
      <c r="K276" s="18"/>
      <c r="L276" s="19">
        <f>SUM(F276:K276)</f>
        <v>125374.01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6931.09</v>
      </c>
      <c r="G277" s="18"/>
      <c r="H277" s="18"/>
      <c r="I277" s="18"/>
      <c r="J277" s="18">
        <f>1907.94</f>
        <v>1907.94</v>
      </c>
      <c r="K277" s="18"/>
      <c r="L277" s="19">
        <f>SUM(F277:K277)</f>
        <v>8839.0300000000007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3793.38+10156.14</f>
        <v>13949.52</v>
      </c>
      <c r="G281" s="18"/>
      <c r="H281" s="18"/>
      <c r="I281" s="18"/>
      <c r="J281" s="18"/>
      <c r="K281" s="18"/>
      <c r="L281" s="19">
        <f t="shared" ref="L281:L287" si="12">SUM(F281:K281)</f>
        <v>13949.52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3880+1629.89+945.75+7673.4+1028.17+3000+2625</f>
        <v>20782.21</v>
      </c>
      <c r="G282" s="18"/>
      <c r="H282" s="18">
        <f>22662.77+3775.23+105.08+582.97+824.5+409.32+5900+250</f>
        <v>34509.870000000003</v>
      </c>
      <c r="I282" s="18">
        <f>970+421.1+1484.92+3880+250.07+217.97+57.2+399.94</f>
        <v>7681.2</v>
      </c>
      <c r="J282" s="18">
        <f>9381.07</f>
        <v>9381.07</v>
      </c>
      <c r="K282" s="18"/>
      <c r="L282" s="19">
        <f t="shared" si="12"/>
        <v>72354.350000000006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5144.1899999999996</v>
      </c>
      <c r="G283" s="18"/>
      <c r="H283" s="18"/>
      <c r="I283" s="18">
        <v>130.85</v>
      </c>
      <c r="J283" s="18"/>
      <c r="K283" s="18"/>
      <c r="L283" s="19">
        <f t="shared" si="12"/>
        <v>5275.04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172181.02</v>
      </c>
      <c r="G290" s="42">
        <f t="shared" si="13"/>
        <v>0</v>
      </c>
      <c r="H290" s="42">
        <f t="shared" si="13"/>
        <v>34509.870000000003</v>
      </c>
      <c r="I290" s="42">
        <f t="shared" si="13"/>
        <v>7812.05</v>
      </c>
      <c r="J290" s="42">
        <f t="shared" si="13"/>
        <v>11289.01</v>
      </c>
      <c r="K290" s="42">
        <f t="shared" si="13"/>
        <v>0</v>
      </c>
      <c r="L290" s="41">
        <f t="shared" si="13"/>
        <v>225791.95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2300</f>
        <v>2300</v>
      </c>
      <c r="G295" s="18"/>
      <c r="H295" s="18"/>
      <c r="I295" s="18"/>
      <c r="J295" s="18"/>
      <c r="K295" s="18"/>
      <c r="L295" s="19">
        <f>SUM(F295:K295)</f>
        <v>2300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72255.100000000006</v>
      </c>
      <c r="G296" s="18"/>
      <c r="H296" s="18"/>
      <c r="I296" s="18"/>
      <c r="J296" s="18">
        <v>904.8</v>
      </c>
      <c r="K296" s="18"/>
      <c r="L296" s="19">
        <f>SUM(F296:K296)</f>
        <v>73159.900000000009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f>1798.92+4816.32</f>
        <v>6615.24</v>
      </c>
      <c r="G300" s="18"/>
      <c r="H300" s="18"/>
      <c r="I300" s="18"/>
      <c r="J300" s="18"/>
      <c r="K300" s="18"/>
      <c r="L300" s="19">
        <f t="shared" ref="L300:L306" si="14">SUM(F300:K300)</f>
        <v>6615.24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1840+772.94+448.5+3638.93+487.57</f>
        <v>7187.94</v>
      </c>
      <c r="G301" s="18"/>
      <c r="H301" s="18">
        <f>10747.3+1790.32+49.83+276.46+391</f>
        <v>13254.909999999998</v>
      </c>
      <c r="I301" s="18">
        <f>460+199.7+1840+704.19</f>
        <v>3203.89</v>
      </c>
      <c r="J301" s="18">
        <f>4448.76</f>
        <v>4448.76</v>
      </c>
      <c r="K301" s="18"/>
      <c r="L301" s="19">
        <f t="shared" si="14"/>
        <v>28095.5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f>2439.51</f>
        <v>2439.5100000000002</v>
      </c>
      <c r="G302" s="18"/>
      <c r="H302" s="18"/>
      <c r="I302" s="18">
        <f>62.05</f>
        <v>62.05</v>
      </c>
      <c r="J302" s="18"/>
      <c r="K302" s="18"/>
      <c r="L302" s="19">
        <f t="shared" si="14"/>
        <v>2501.5600000000004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90797.790000000008</v>
      </c>
      <c r="G309" s="42">
        <f t="shared" si="15"/>
        <v>0</v>
      </c>
      <c r="H309" s="42">
        <f t="shared" si="15"/>
        <v>13254.909999999998</v>
      </c>
      <c r="I309" s="42">
        <f t="shared" si="15"/>
        <v>3265.94</v>
      </c>
      <c r="J309" s="42">
        <f t="shared" si="15"/>
        <v>5353.56</v>
      </c>
      <c r="K309" s="42">
        <f t="shared" si="15"/>
        <v>0</v>
      </c>
      <c r="L309" s="41">
        <f t="shared" si="15"/>
        <v>112672.20000000001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798+2052+1627.5</f>
        <v>4477.5</v>
      </c>
      <c r="G314" s="18">
        <f>138.55</f>
        <v>138.55000000000001</v>
      </c>
      <c r="H314" s="18"/>
      <c r="I314" s="18">
        <f>287.79</f>
        <v>287.79000000000002</v>
      </c>
      <c r="J314" s="18"/>
      <c r="K314" s="18"/>
      <c r="L314" s="19">
        <f>SUM(F314:K314)</f>
        <v>4903.84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32585.5+41350.87</f>
        <v>73936.37</v>
      </c>
      <c r="G315" s="18"/>
      <c r="H315" s="18"/>
      <c r="I315" s="18"/>
      <c r="J315" s="18">
        <v>1121.1600000000001</v>
      </c>
      <c r="K315" s="18"/>
      <c r="L315" s="19">
        <f>SUM(F315:K315)</f>
        <v>75057.53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2229.1+5968.04</f>
        <v>8197.14</v>
      </c>
      <c r="G319" s="18"/>
      <c r="H319" s="18"/>
      <c r="I319" s="18">
        <f>99</f>
        <v>99</v>
      </c>
      <c r="J319" s="18"/>
      <c r="K319" s="18"/>
      <c r="L319" s="19">
        <f t="shared" ref="L319:L325" si="16">SUM(F319:K319)</f>
        <v>8296.14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2280+957.77+555.75+4509.11+604.15</f>
        <v>8906.7799999999988</v>
      </c>
      <c r="G320" s="18"/>
      <c r="H320" s="18">
        <f>13317.3+2218.43+61.75+342.57+484.5-156.57</f>
        <v>16267.98</v>
      </c>
      <c r="I320" s="18">
        <f>570+247.45+872.58+2280</f>
        <v>3970.03</v>
      </c>
      <c r="J320" s="18">
        <f>5512.59</f>
        <v>5512.59</v>
      </c>
      <c r="K320" s="18"/>
      <c r="L320" s="19">
        <f t="shared" si="16"/>
        <v>34657.379999999997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f>3022.87-0.01</f>
        <v>3022.8599999999997</v>
      </c>
      <c r="G321" s="18"/>
      <c r="H321" s="18"/>
      <c r="I321" s="18">
        <f>76.89</f>
        <v>76.89</v>
      </c>
      <c r="J321" s="18"/>
      <c r="K321" s="18"/>
      <c r="L321" s="19">
        <f t="shared" si="16"/>
        <v>3099.7499999999995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98540.65</v>
      </c>
      <c r="G328" s="42">
        <f t="shared" si="17"/>
        <v>138.55000000000001</v>
      </c>
      <c r="H328" s="42">
        <f t="shared" si="17"/>
        <v>16267.98</v>
      </c>
      <c r="I328" s="42">
        <f t="shared" si="17"/>
        <v>4433.7100000000009</v>
      </c>
      <c r="J328" s="42">
        <f t="shared" si="17"/>
        <v>6633.75</v>
      </c>
      <c r="K328" s="42">
        <f t="shared" si="17"/>
        <v>0</v>
      </c>
      <c r="L328" s="41">
        <f t="shared" si="17"/>
        <v>126014.63999999998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361519.45999999996</v>
      </c>
      <c r="G338" s="41">
        <f t="shared" si="20"/>
        <v>138.55000000000001</v>
      </c>
      <c r="H338" s="41">
        <f t="shared" si="20"/>
        <v>64032.759999999995</v>
      </c>
      <c r="I338" s="41">
        <f t="shared" si="20"/>
        <v>15511.7</v>
      </c>
      <c r="J338" s="41">
        <f t="shared" si="20"/>
        <v>23276.32</v>
      </c>
      <c r="K338" s="41">
        <f t="shared" si="20"/>
        <v>0</v>
      </c>
      <c r="L338" s="41">
        <f t="shared" si="20"/>
        <v>464478.79000000004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f>7093.04+1655.54+2051.44</f>
        <v>10800.02</v>
      </c>
      <c r="L344" s="19">
        <f t="shared" ref="L344:L350" si="21">SUM(F344:K344)</f>
        <v>10800.02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10800.02</v>
      </c>
      <c r="L351" s="41">
        <f>SUM(L341:L350)</f>
        <v>10800.02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361519.45999999996</v>
      </c>
      <c r="G352" s="41">
        <f>G338</f>
        <v>138.55000000000001</v>
      </c>
      <c r="H352" s="41">
        <f>H338</f>
        <v>64032.759999999995</v>
      </c>
      <c r="I352" s="41">
        <f>I338</f>
        <v>15511.7</v>
      </c>
      <c r="J352" s="41">
        <f>J338</f>
        <v>23276.32</v>
      </c>
      <c r="K352" s="47">
        <f>K338+K351</f>
        <v>10800.02</v>
      </c>
      <c r="L352" s="41">
        <f>L338+L351</f>
        <v>475278.81000000006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70567.09+0.01</f>
        <v>70567.099999999991</v>
      </c>
      <c r="G358" s="18">
        <v>14940.18</v>
      </c>
      <c r="H358" s="18">
        <v>886.7</v>
      </c>
      <c r="I358" s="18">
        <v>66703.28</v>
      </c>
      <c r="J358" s="18">
        <v>914.27</v>
      </c>
      <c r="K358" s="18">
        <v>525.98</v>
      </c>
      <c r="L358" s="13">
        <f>SUM(F358:K358)</f>
        <v>154537.51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41716.699999999997</v>
      </c>
      <c r="G359" s="18">
        <v>11100.16</v>
      </c>
      <c r="H359" s="18">
        <v>420.5</v>
      </c>
      <c r="I359" s="18">
        <v>45921.68</v>
      </c>
      <c r="J359" s="18">
        <f>433.57+0.01</f>
        <v>433.58</v>
      </c>
      <c r="K359" s="18">
        <v>249.44</v>
      </c>
      <c r="L359" s="19">
        <f>SUM(F359:K359)</f>
        <v>99842.060000000012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52023.63</v>
      </c>
      <c r="G360" s="18">
        <v>13843.65</v>
      </c>
      <c r="H360" s="18">
        <f>521.05-0.01</f>
        <v>521.04</v>
      </c>
      <c r="I360" s="18">
        <v>57224.65</v>
      </c>
      <c r="J360" s="18">
        <v>537.25</v>
      </c>
      <c r="K360" s="18">
        <v>309.08</v>
      </c>
      <c r="L360" s="19">
        <f>SUM(F360:K360)</f>
        <v>124459.3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164307.43</v>
      </c>
      <c r="G362" s="47">
        <f t="shared" si="22"/>
        <v>39883.99</v>
      </c>
      <c r="H362" s="47">
        <f t="shared" si="22"/>
        <v>1828.24</v>
      </c>
      <c r="I362" s="47">
        <f t="shared" si="22"/>
        <v>169849.61</v>
      </c>
      <c r="J362" s="47">
        <f t="shared" si="22"/>
        <v>1885.1</v>
      </c>
      <c r="K362" s="47">
        <f t="shared" si="22"/>
        <v>1084.5</v>
      </c>
      <c r="L362" s="47">
        <f t="shared" si="22"/>
        <v>378838.87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49923.77+418.49</f>
        <v>50342.259999999995</v>
      </c>
      <c r="G367" s="18">
        <f>29067.94+198.46</f>
        <v>29266.399999999998</v>
      </c>
      <c r="H367" s="18">
        <f>36253.27+245.92</f>
        <v>36499.189999999995</v>
      </c>
      <c r="I367" s="56">
        <f>SUM(F367:H367)</f>
        <v>116107.84999999998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66703.28-50342.26</f>
        <v>16361.019999999997</v>
      </c>
      <c r="G368" s="63">
        <f>45921.68-29266.4</f>
        <v>16655.28</v>
      </c>
      <c r="H368" s="63">
        <f>57224.65-36499.19</f>
        <v>20725.46</v>
      </c>
      <c r="I368" s="56">
        <f>SUM(F368:H368)</f>
        <v>53741.759999999995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66703.28</v>
      </c>
      <c r="G369" s="47">
        <f>SUM(G367:G368)</f>
        <v>45921.679999999993</v>
      </c>
      <c r="H369" s="47">
        <f>SUM(H367:H368)</f>
        <v>57224.649999999994</v>
      </c>
      <c r="I369" s="47">
        <f>SUM(I367:I368)</f>
        <v>169849.61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0</v>
      </c>
      <c r="H392" s="18">
        <v>122.22</v>
      </c>
      <c r="I392" s="18"/>
      <c r="J392" s="24" t="s">
        <v>289</v>
      </c>
      <c r="K392" s="24" t="s">
        <v>289</v>
      </c>
      <c r="L392" s="56">
        <f t="shared" si="25"/>
        <v>122.22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122.22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122.22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122.22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122.22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54485.4</v>
      </c>
      <c r="L426" s="56">
        <f t="shared" si="29"/>
        <v>54485.4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54485.4</v>
      </c>
      <c r="L427" s="47">
        <f t="shared" si="30"/>
        <v>54485.4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54485.4</v>
      </c>
      <c r="L434" s="47">
        <f t="shared" si="32"/>
        <v>54485.4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f>95719.95+122.22</f>
        <v>95842.17</v>
      </c>
      <c r="G440" s="18"/>
      <c r="H440" s="18"/>
      <c r="I440" s="56">
        <f t="shared" si="33"/>
        <v>95842.17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95842.17</v>
      </c>
      <c r="G446" s="13">
        <f>SUM(G439:G445)</f>
        <v>0</v>
      </c>
      <c r="H446" s="13">
        <f>SUM(H439:H445)</f>
        <v>0</v>
      </c>
      <c r="I446" s="13">
        <f>SUM(I439:I445)</f>
        <v>95842.17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95842.17</v>
      </c>
      <c r="G459" s="18"/>
      <c r="H459" s="18"/>
      <c r="I459" s="56">
        <f t="shared" si="34"/>
        <v>95842.17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95842.17</v>
      </c>
      <c r="G460" s="83">
        <f>SUM(G454:G459)</f>
        <v>0</v>
      </c>
      <c r="H460" s="83">
        <f>SUM(H454:H459)</f>
        <v>0</v>
      </c>
      <c r="I460" s="83">
        <f>SUM(I454:I459)</f>
        <v>95842.17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95842.17</v>
      </c>
      <c r="G461" s="42">
        <f>G452+G460</f>
        <v>0</v>
      </c>
      <c r="H461" s="42">
        <f>H452+H460</f>
        <v>0</v>
      </c>
      <c r="I461" s="42">
        <f>I452+I460</f>
        <v>95842.17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357478.49</v>
      </c>
      <c r="G465" s="18">
        <v>63386.92</v>
      </c>
      <c r="H465" s="18">
        <v>3590.06</v>
      </c>
      <c r="I465" s="18">
        <v>0</v>
      </c>
      <c r="J465" s="18">
        <v>100205.35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17831054.39</f>
        <v>17831054.390000001</v>
      </c>
      <c r="G468" s="18">
        <v>380888.6</v>
      </c>
      <c r="H468" s="18">
        <f>473125.97+7800</f>
        <v>480925.97</v>
      </c>
      <c r="I468" s="18"/>
      <c r="J468" s="18">
        <v>122.22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2897.86</v>
      </c>
      <c r="G469" s="18"/>
      <c r="H469" s="18"/>
      <c r="I469" s="18"/>
      <c r="J469" s="18">
        <v>50000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17833952.25</v>
      </c>
      <c r="G470" s="53">
        <f>SUM(G468:G469)</f>
        <v>380888.6</v>
      </c>
      <c r="H470" s="53">
        <f>SUM(H468:H469)</f>
        <v>480925.97</v>
      </c>
      <c r="I470" s="53">
        <f>SUM(I468:I469)</f>
        <v>0</v>
      </c>
      <c r="J470" s="53">
        <f>SUM(J468:J469)</f>
        <v>50122.22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17588819.52</f>
        <v>17588819.52</v>
      </c>
      <c r="G472" s="18">
        <v>378838.87</v>
      </c>
      <c r="H472" s="18">
        <f>473282.54+2152.84-156.57</f>
        <v>475278.81</v>
      </c>
      <c r="I472" s="18"/>
      <c r="J472" s="18">
        <v>54485.4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17588819.52</v>
      </c>
      <c r="G474" s="53">
        <f>SUM(G472:G473)</f>
        <v>378838.87</v>
      </c>
      <c r="H474" s="53">
        <f>SUM(H472:H473)</f>
        <v>475278.81</v>
      </c>
      <c r="I474" s="53">
        <f>SUM(I472:I473)</f>
        <v>0</v>
      </c>
      <c r="J474" s="53">
        <f>SUM(J472:J473)</f>
        <v>54485.4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602611.21999999881</v>
      </c>
      <c r="G476" s="53">
        <f>(G465+G470)- G474</f>
        <v>65436.649999999965</v>
      </c>
      <c r="H476" s="53">
        <f>(H465+H470)- H474</f>
        <v>9237.2199999999721</v>
      </c>
      <c r="I476" s="53">
        <f>(I465+I470)- I474</f>
        <v>0</v>
      </c>
      <c r="J476" s="53">
        <f>(J465+J470)- J474</f>
        <v>95842.170000000013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915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12072350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4.13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8010000</v>
      </c>
      <c r="G495" s="18"/>
      <c r="H495" s="18"/>
      <c r="I495" s="18"/>
      <c r="J495" s="18"/>
      <c r="K495" s="53">
        <f>SUM(F495:J495)</f>
        <v>8010000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575000</v>
      </c>
      <c r="G497" s="18"/>
      <c r="H497" s="18"/>
      <c r="I497" s="18"/>
      <c r="J497" s="18"/>
      <c r="K497" s="53">
        <f t="shared" si="35"/>
        <v>575000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7435000</v>
      </c>
      <c r="G498" s="204"/>
      <c r="H498" s="204"/>
      <c r="I498" s="204"/>
      <c r="J498" s="204"/>
      <c r="K498" s="205">
        <f t="shared" si="35"/>
        <v>7435000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1814841.83</v>
      </c>
      <c r="G499" s="18"/>
      <c r="H499" s="18"/>
      <c r="I499" s="18"/>
      <c r="J499" s="18"/>
      <c r="K499" s="53">
        <f t="shared" si="35"/>
        <v>1814841.83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9249841.8300000001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9249841.8300000001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605000</v>
      </c>
      <c r="G501" s="204"/>
      <c r="H501" s="204"/>
      <c r="I501" s="204"/>
      <c r="J501" s="204"/>
      <c r="K501" s="205">
        <f t="shared" si="35"/>
        <v>605000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150817.63+148770.63</f>
        <v>299588.26</v>
      </c>
      <c r="G502" s="18"/>
      <c r="H502" s="18"/>
      <c r="I502" s="18"/>
      <c r="J502" s="18"/>
      <c r="K502" s="53">
        <f t="shared" si="35"/>
        <v>299588.26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904588.26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904588.26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267690.42+293179.83+9209.12+27824.76+14233.54+20959.76+87624.79+81942.63</f>
        <v>802664.85000000009</v>
      </c>
      <c r="G521" s="18">
        <f>8473.73+261.38+5507.47+1058.92+3422.72+166359.91+3498.74+40188.51+232.41+41975.29+70914.36+1923.36+12525.31+15718.8</f>
        <v>372060.91</v>
      </c>
      <c r="H521" s="18">
        <f>135110.09+189721.5+102787.8+57954.6</f>
        <v>485573.98999999993</v>
      </c>
      <c r="I521" s="18">
        <f>627.76+62.8+1850.76+4500+800+350+1500+150+264.5+3200</f>
        <v>13305.82</v>
      </c>
      <c r="J521" s="18">
        <f>2100+300+1200</f>
        <v>3600</v>
      </c>
      <c r="K521" s="18"/>
      <c r="L521" s="88">
        <f>SUM(F521:K521)</f>
        <v>1677205.57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80767.5+216141.04+4367.21+13195.25+6749.93+9939.68</f>
        <v>331160.61000000004</v>
      </c>
      <c r="G522" s="18">
        <f>77442.59+1528.26+27521.53+17467.62+4018.47+123.95+2611.79+502.17+1623.14</f>
        <v>132839.51999999999</v>
      </c>
      <c r="H522" s="18">
        <f>50+64072.83+89971.02+48744.73+27483.63</f>
        <v>230322.21000000002</v>
      </c>
      <c r="I522" s="18">
        <f>2500+47.75+172.97+189.95+297.7+29.78+877.68</f>
        <v>4115.83</v>
      </c>
      <c r="J522" s="18">
        <f>2100</f>
        <v>2100</v>
      </c>
      <c r="K522" s="18"/>
      <c r="L522" s="88">
        <f>SUM(F522:K522)</f>
        <v>700538.17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5411.54+16350.63+8364.04+12316.56+210359.03+145619.61</f>
        <v>398421.41</v>
      </c>
      <c r="G523" s="18">
        <f>4979.41+153.59+3236.35+622.25+2011.29+66398.05+2077.92+31912.83+32986.69</f>
        <v>144378.38</v>
      </c>
      <c r="H523" s="18">
        <f>79394.59+111485.83+60401.08+34055.8+120819.18</f>
        <v>406156.48</v>
      </c>
      <c r="I523" s="18">
        <f>368.89+36.9+1087.56+2700+489.44+1461.05</f>
        <v>6143.84</v>
      </c>
      <c r="J523" s="18">
        <f>421.46</f>
        <v>421.46</v>
      </c>
      <c r="K523" s="18"/>
      <c r="L523" s="88">
        <f>SUM(F523:K523)</f>
        <v>955521.57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1532246.87</v>
      </c>
      <c r="G524" s="108">
        <f t="shared" ref="G524:L524" si="36">SUM(G521:G523)</f>
        <v>649278.80999999994</v>
      </c>
      <c r="H524" s="108">
        <f t="shared" si="36"/>
        <v>1122052.68</v>
      </c>
      <c r="I524" s="108">
        <f t="shared" si="36"/>
        <v>23565.49</v>
      </c>
      <c r="J524" s="108">
        <f t="shared" si="36"/>
        <v>6121.46</v>
      </c>
      <c r="K524" s="108">
        <f t="shared" si="36"/>
        <v>0</v>
      </c>
      <c r="L524" s="89">
        <f t="shared" si="36"/>
        <v>3333265.31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806+40710.22+2345+108782.47+55900.13+1162.79</f>
        <v>209706.61000000002</v>
      </c>
      <c r="G526" s="18">
        <f>61.65+2368.46+179.4+4885.54+270.69+3405.85+4560.49+29875.91+1268.94+8658.1+29.39+18509.06+15523.05+541.38+4111.08+8991.1</f>
        <v>103240.09000000001</v>
      </c>
      <c r="H526" s="18">
        <f>15999.29+485+7255.5+17761.69</f>
        <v>41501.479999999996</v>
      </c>
      <c r="I526" s="18">
        <f>1717.9+1638.97+29.35+242.5+1212.5+196.43+121.25+363.75+191.72+418.35+190.21</f>
        <v>6322.93</v>
      </c>
      <c r="J526" s="18">
        <f>421.5+1838.77+905.4</f>
        <v>3165.67</v>
      </c>
      <c r="K526" s="18"/>
      <c r="L526" s="88">
        <f>SUM(F526:K526)</f>
        <v>363936.77999999997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19305.88+51587.56+26509.34+551.43</f>
        <v>97954.209999999992</v>
      </c>
      <c r="G527" s="18">
        <f>2316.85+128.37+1615.15+2162.71+14167.96+601.77+4105.9+13.94+8777.49+7361.44+256.74+1949.59+4263.82</f>
        <v>47721.729999999996</v>
      </c>
      <c r="H527" s="18">
        <f>7587.29+230+3440.75+8423.07</f>
        <v>19681.11</v>
      </c>
      <c r="I527" s="18">
        <f>519.33+115+575+93.15+57.5+172.5+90.92+198.39+90.2</f>
        <v>1911.99</v>
      </c>
      <c r="J527" s="18">
        <f>462.79+429.37</f>
        <v>892.16000000000008</v>
      </c>
      <c r="K527" s="18"/>
      <c r="L527" s="88">
        <f>SUM(F527:K527)</f>
        <v>168161.19999999998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23922.5+63923.72+32848.53+683.29</f>
        <v>121378.04</v>
      </c>
      <c r="G528" s="18">
        <f>2870.88+159.06+2001.38+2679.88+17555.95+745.67+5087.75+17.27+10876.46+9121.79+318.13+2415.79+5283.43</f>
        <v>59133.440000000002</v>
      </c>
      <c r="H528" s="18">
        <f>40154.19+285+2387.37+360+6185.22+4263.54+10437.28+7928.65</f>
        <v>72001.25</v>
      </c>
      <c r="I528" s="18">
        <f>142.5+712.5+115.43+71.25+213.75+112.66+245.83+111.77+647.71</f>
        <v>2373.4</v>
      </c>
      <c r="J528" s="18">
        <f>532.04+577.18</f>
        <v>1109.2199999999998</v>
      </c>
      <c r="K528" s="18"/>
      <c r="L528" s="88">
        <f>SUM(F528:K528)</f>
        <v>255995.34999999998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429038.86</v>
      </c>
      <c r="G529" s="89">
        <f t="shared" ref="G529:L529" si="37">SUM(G526:G528)</f>
        <v>210095.26</v>
      </c>
      <c r="H529" s="89">
        <f t="shared" si="37"/>
        <v>133183.84</v>
      </c>
      <c r="I529" s="89">
        <f t="shared" si="37"/>
        <v>10608.32</v>
      </c>
      <c r="J529" s="89">
        <f t="shared" si="37"/>
        <v>5167.0499999999993</v>
      </c>
      <c r="K529" s="89">
        <f t="shared" si="37"/>
        <v>0</v>
      </c>
      <c r="L529" s="89">
        <f t="shared" si="37"/>
        <v>788093.33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44044.79+34589.17</f>
        <v>78633.959999999992</v>
      </c>
      <c r="G531" s="18">
        <f>15362.14+1182.23+6158.39+2059.14+6977.83+198.85+28.38</f>
        <v>31966.959999999995</v>
      </c>
      <c r="H531" s="18">
        <f>4400.54+291+43.9+1213.07</f>
        <v>5948.5099999999993</v>
      </c>
      <c r="I531" s="18">
        <f>631.41+1018.5</f>
        <v>1649.9099999999999</v>
      </c>
      <c r="J531" s="18">
        <f>657.66</f>
        <v>657.66</v>
      </c>
      <c r="K531" s="18">
        <f>521.38</f>
        <v>521.38</v>
      </c>
      <c r="L531" s="88">
        <f>SUM(F531:K531)</f>
        <v>119378.37999999999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20887.22+16403.11</f>
        <v>37290.33</v>
      </c>
      <c r="G532" s="18">
        <f>7285.14+560.65+2920.47+976.5+3309.07+94.3+13.46</f>
        <v>15159.589999999998</v>
      </c>
      <c r="H532" s="18">
        <f>2086.85+138+20.82+575.27</f>
        <v>2820.94</v>
      </c>
      <c r="I532" s="18">
        <f>299.43+483</f>
        <v>782.43000000000006</v>
      </c>
      <c r="J532" s="18">
        <f>311.88</f>
        <v>311.88</v>
      </c>
      <c r="K532" s="18">
        <f>247.25</f>
        <v>247.25</v>
      </c>
      <c r="L532" s="88">
        <f>SUM(F532:K532)</f>
        <v>56612.42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25881.99+20325.6</f>
        <v>46207.59</v>
      </c>
      <c r="G533" s="18">
        <f>9027.24+694.71+3618.85+1210.01+4100.37+116.85+16.68</f>
        <v>18784.71</v>
      </c>
      <c r="H533" s="18">
        <f>2585.88+171+25.8+712.84</f>
        <v>3495.5200000000004</v>
      </c>
      <c r="I533" s="18">
        <f>371.04+598.5</f>
        <v>969.54</v>
      </c>
      <c r="J533" s="18">
        <f>386.46</f>
        <v>386.46</v>
      </c>
      <c r="K533" s="18">
        <f>306.38</f>
        <v>306.38</v>
      </c>
      <c r="L533" s="88">
        <f>SUM(F533:K533)</f>
        <v>70150.2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162131.88</v>
      </c>
      <c r="G534" s="89">
        <f t="shared" ref="G534:L534" si="38">SUM(G531:G533)</f>
        <v>65911.259999999995</v>
      </c>
      <c r="H534" s="89">
        <f t="shared" si="38"/>
        <v>12264.97</v>
      </c>
      <c r="I534" s="89">
        <f t="shared" si="38"/>
        <v>3401.88</v>
      </c>
      <c r="J534" s="89">
        <f t="shared" si="38"/>
        <v>1356</v>
      </c>
      <c r="K534" s="89">
        <f t="shared" si="38"/>
        <v>1075.01</v>
      </c>
      <c r="L534" s="89">
        <f t="shared" si="38"/>
        <v>246141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767.23</f>
        <v>767.23</v>
      </c>
      <c r="I536" s="18"/>
      <c r="J536" s="18"/>
      <c r="K536" s="18"/>
      <c r="L536" s="88">
        <f>SUM(F536:K536)</f>
        <v>767.23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f>363.84</f>
        <v>363.84</v>
      </c>
      <c r="I537" s="18"/>
      <c r="J537" s="18"/>
      <c r="K537" s="18"/>
      <c r="L537" s="88">
        <f>SUM(F537:K537)</f>
        <v>363.84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f>450.85</f>
        <v>450.85</v>
      </c>
      <c r="I538" s="18"/>
      <c r="J538" s="18"/>
      <c r="K538" s="18"/>
      <c r="L538" s="88">
        <f>SUM(F538:K538)</f>
        <v>450.85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1581.92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1581.92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61222.49</v>
      </c>
      <c r="I541" s="18"/>
      <c r="J541" s="18"/>
      <c r="K541" s="18"/>
      <c r="L541" s="88">
        <f>SUM(F541:K541)</f>
        <v>61222.49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29033.34</v>
      </c>
      <c r="I542" s="18"/>
      <c r="J542" s="18"/>
      <c r="K542" s="18"/>
      <c r="L542" s="88">
        <f>SUM(F542:K542)</f>
        <v>29033.34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241067.9</v>
      </c>
      <c r="I543" s="18"/>
      <c r="J543" s="18"/>
      <c r="K543" s="18"/>
      <c r="L543" s="88">
        <f>SUM(F543:K543)</f>
        <v>241067.9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331323.73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331323.73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2123417.61</v>
      </c>
      <c r="G545" s="89">
        <f t="shared" ref="G545:L545" si="41">G524+G529+G534+G539+G544</f>
        <v>925285.33</v>
      </c>
      <c r="H545" s="89">
        <f t="shared" si="41"/>
        <v>1600407.14</v>
      </c>
      <c r="I545" s="89">
        <f t="shared" si="41"/>
        <v>37575.689999999995</v>
      </c>
      <c r="J545" s="89">
        <f t="shared" si="41"/>
        <v>12644.509999999998</v>
      </c>
      <c r="K545" s="89">
        <f t="shared" si="41"/>
        <v>1075.01</v>
      </c>
      <c r="L545" s="89">
        <f t="shared" si="41"/>
        <v>4700405.290000001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1677205.57</v>
      </c>
      <c r="G549" s="87">
        <f>L526</f>
        <v>363936.77999999997</v>
      </c>
      <c r="H549" s="87">
        <f>L531</f>
        <v>119378.37999999999</v>
      </c>
      <c r="I549" s="87">
        <f>L536</f>
        <v>767.23</v>
      </c>
      <c r="J549" s="87">
        <f>L541</f>
        <v>61222.49</v>
      </c>
      <c r="K549" s="87">
        <f>SUM(F549:J549)</f>
        <v>2222510.4500000002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700538.17</v>
      </c>
      <c r="G550" s="87">
        <f>L527</f>
        <v>168161.19999999998</v>
      </c>
      <c r="H550" s="87">
        <f>L532</f>
        <v>56612.42</v>
      </c>
      <c r="I550" s="87">
        <f>L537</f>
        <v>363.84</v>
      </c>
      <c r="J550" s="87">
        <f>L542</f>
        <v>29033.34</v>
      </c>
      <c r="K550" s="87">
        <f>SUM(F550:J550)</f>
        <v>954708.97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955521.57</v>
      </c>
      <c r="G551" s="87">
        <f>L528</f>
        <v>255995.34999999998</v>
      </c>
      <c r="H551" s="87">
        <f>L533</f>
        <v>70150.2</v>
      </c>
      <c r="I551" s="87">
        <f>L538</f>
        <v>450.85</v>
      </c>
      <c r="J551" s="87">
        <f>L543</f>
        <v>241067.9</v>
      </c>
      <c r="K551" s="87">
        <f>SUM(F551:J551)</f>
        <v>1523185.8699999999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3333265.31</v>
      </c>
      <c r="G552" s="89">
        <f t="shared" si="42"/>
        <v>788093.33</v>
      </c>
      <c r="H552" s="89">
        <f t="shared" si="42"/>
        <v>246141</v>
      </c>
      <c r="I552" s="89">
        <f t="shared" si="42"/>
        <v>1581.92</v>
      </c>
      <c r="J552" s="89">
        <f t="shared" si="42"/>
        <v>331323.73</v>
      </c>
      <c r="K552" s="89">
        <f t="shared" si="42"/>
        <v>4700405.29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f>2625+3000+120524.01+56634</f>
        <v>182783.01</v>
      </c>
      <c r="G557" s="18">
        <f>42625</f>
        <v>42625</v>
      </c>
      <c r="H557" s="18">
        <f>5900</f>
        <v>5900</v>
      </c>
      <c r="I557" s="18">
        <f>250.07+217.97+57.2+399.94</f>
        <v>925.18000000000006</v>
      </c>
      <c r="J557" s="18"/>
      <c r="K557" s="18"/>
      <c r="L557" s="88">
        <f>SUM(F557:K557)</f>
        <v>232233.19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182783.01</v>
      </c>
      <c r="G560" s="108">
        <f t="shared" si="43"/>
        <v>42625</v>
      </c>
      <c r="H560" s="108">
        <f t="shared" si="43"/>
        <v>5900</v>
      </c>
      <c r="I560" s="108">
        <f t="shared" si="43"/>
        <v>925.18000000000006</v>
      </c>
      <c r="J560" s="108">
        <f t="shared" si="43"/>
        <v>0</v>
      </c>
      <c r="K560" s="108">
        <f t="shared" si="43"/>
        <v>0</v>
      </c>
      <c r="L560" s="89">
        <f t="shared" si="43"/>
        <v>232233.19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4640.06*10</f>
        <v>46400.600000000006</v>
      </c>
      <c r="G562" s="18">
        <f>2898.69*10</f>
        <v>28986.9</v>
      </c>
      <c r="H562" s="18"/>
      <c r="I562" s="18"/>
      <c r="J562" s="18"/>
      <c r="K562" s="18"/>
      <c r="L562" s="88">
        <f>SUM(F562:K562)</f>
        <v>75387.5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f>4640.06*1</f>
        <v>4640.0600000000004</v>
      </c>
      <c r="G563" s="18">
        <f>2898.69*1</f>
        <v>2898.69</v>
      </c>
      <c r="H563" s="18"/>
      <c r="I563" s="18"/>
      <c r="J563" s="18"/>
      <c r="K563" s="18"/>
      <c r="L563" s="88">
        <f>SUM(F563:K563)</f>
        <v>7538.75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f>4640.06*3</f>
        <v>13920.18</v>
      </c>
      <c r="G564" s="18">
        <f>2898.69*3</f>
        <v>8696.07</v>
      </c>
      <c r="H564" s="18"/>
      <c r="I564" s="18"/>
      <c r="J564" s="18"/>
      <c r="K564" s="18"/>
      <c r="L564" s="88">
        <f>SUM(F564:K564)</f>
        <v>22616.25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64960.840000000004</v>
      </c>
      <c r="G565" s="89">
        <f t="shared" si="44"/>
        <v>40581.660000000003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105542.5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247743.85</v>
      </c>
      <c r="G571" s="89">
        <f t="shared" ref="G571:L571" si="46">G560+G565+G570</f>
        <v>83206.66</v>
      </c>
      <c r="H571" s="89">
        <f t="shared" si="46"/>
        <v>5900</v>
      </c>
      <c r="I571" s="89">
        <f t="shared" si="46"/>
        <v>925.18000000000006</v>
      </c>
      <c r="J571" s="89">
        <f t="shared" si="46"/>
        <v>0</v>
      </c>
      <c r="K571" s="89">
        <f t="shared" si="46"/>
        <v>0</v>
      </c>
      <c r="L571" s="89">
        <f t="shared" si="46"/>
        <v>337775.69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120819.18</v>
      </c>
      <c r="I579" s="87">
        <f t="shared" si="47"/>
        <v>120819.18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211933.61</v>
      </c>
      <c r="I580" s="87">
        <f t="shared" si="47"/>
        <v>211933.61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391178.35</v>
      </c>
      <c r="I582" s="87">
        <f t="shared" si="47"/>
        <v>391178.35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119494.03</v>
      </c>
      <c r="I583" s="87">
        <f t="shared" si="47"/>
        <v>119494.03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91679</v>
      </c>
      <c r="I584" s="87">
        <f t="shared" si="47"/>
        <v>91679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(252249.8+24381)*0.485</f>
        <v>134165.93799999999</v>
      </c>
      <c r="I591" s="18">
        <f>(252249.8+24381)*0.23</f>
        <v>63625.084000000003</v>
      </c>
      <c r="J591" s="18">
        <f>(252249.8+24381)*0.285</f>
        <v>78839.777999999991</v>
      </c>
      <c r="K591" s="104">
        <f t="shared" ref="K591:K597" si="48">SUM(H591:J591)</f>
        <v>276630.8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61222.49</v>
      </c>
      <c r="I592" s="18">
        <v>29033.34</v>
      </c>
      <c r="J592" s="18">
        <f>222867.76+18200.13+0.01</f>
        <v>241067.90000000002</v>
      </c>
      <c r="K592" s="104">
        <f t="shared" si="48"/>
        <v>331323.73000000004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52209</v>
      </c>
      <c r="K593" s="104">
        <f t="shared" si="48"/>
        <v>52209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6741</v>
      </c>
      <c r="J594" s="18">
        <v>28273.66</v>
      </c>
      <c r="K594" s="104">
        <f t="shared" si="48"/>
        <v>35014.660000000003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>
        <v>2708.14</v>
      </c>
      <c r="J595" s="18">
        <v>2731.89</v>
      </c>
      <c r="K595" s="104">
        <f t="shared" si="48"/>
        <v>5440.03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195388.42799999999</v>
      </c>
      <c r="I598" s="108">
        <f>SUM(I591:I597)</f>
        <v>102107.564</v>
      </c>
      <c r="J598" s="108">
        <f>SUM(J591:J597)</f>
        <v>403122.228</v>
      </c>
      <c r="K598" s="108">
        <f>SUM(K591:K597)</f>
        <v>700618.22000000009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122465.73+11289.01</f>
        <v>133754.74</v>
      </c>
      <c r="I604" s="18">
        <f>57366.31+5353.56</f>
        <v>62719.869999999995</v>
      </c>
      <c r="J604" s="18">
        <f>102279.4+6633.75</f>
        <v>108913.15</v>
      </c>
      <c r="K604" s="104">
        <f>SUM(H604:J604)</f>
        <v>305387.76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133754.74</v>
      </c>
      <c r="I605" s="108">
        <f>SUM(I602:I604)</f>
        <v>62719.869999999995</v>
      </c>
      <c r="J605" s="108">
        <f>SUM(J602:J604)</f>
        <v>108913.15</v>
      </c>
      <c r="K605" s="108">
        <f>SUM(K602:K604)</f>
        <v>305387.76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57370.64*0.485</f>
        <v>27824.760399999999</v>
      </c>
      <c r="G611" s="18">
        <f>(F611*0.0765)+((40504.39*0.485)*0.1567)</f>
        <v>5206.9075584050006</v>
      </c>
      <c r="H611" s="18"/>
      <c r="I611" s="18">
        <v>129.49</v>
      </c>
      <c r="J611" s="18"/>
      <c r="K611" s="18"/>
      <c r="L611" s="88">
        <f>SUM(F611:K611)</f>
        <v>33161.157958404998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(57370.64*0.23)+6022.5</f>
        <v>19217.747199999998</v>
      </c>
      <c r="G612" s="18">
        <f>(F612*0.0765)+((40504.39*0.23)*0.1567)</f>
        <v>2929.9763807899999</v>
      </c>
      <c r="H612" s="18"/>
      <c r="I612" s="18"/>
      <c r="J612" s="18"/>
      <c r="K612" s="18"/>
      <c r="L612" s="88">
        <f>SUM(F612:K612)</f>
        <v>22147.72358079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(57370.64*0.285)+9126.25</f>
        <v>25476.882399999999</v>
      </c>
      <c r="G613" s="18">
        <f>(F613*0.0765)+((40504.39*0.285)*0.1567)</f>
        <v>3757.8873088049995</v>
      </c>
      <c r="H613" s="18"/>
      <c r="I613" s="18"/>
      <c r="J613" s="18"/>
      <c r="K613" s="18"/>
      <c r="L613" s="88">
        <f>SUM(F613:K613)</f>
        <v>29234.769708804997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72519.39</v>
      </c>
      <c r="G614" s="108">
        <f t="shared" si="49"/>
        <v>11894.771248000001</v>
      </c>
      <c r="H614" s="108">
        <f t="shared" si="49"/>
        <v>0</v>
      </c>
      <c r="I614" s="108">
        <f t="shared" si="49"/>
        <v>129.49</v>
      </c>
      <c r="J614" s="108">
        <f t="shared" si="49"/>
        <v>0</v>
      </c>
      <c r="K614" s="108">
        <f t="shared" si="49"/>
        <v>0</v>
      </c>
      <c r="L614" s="89">
        <f t="shared" si="49"/>
        <v>84543.651247999995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1135225.03</v>
      </c>
      <c r="H617" s="109">
        <f>SUM(F52)</f>
        <v>1135225.03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400824.65</v>
      </c>
      <c r="H618" s="109">
        <f>SUM(G52)</f>
        <v>400824.65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191030.33</v>
      </c>
      <c r="H619" s="109">
        <f>SUM(H52)</f>
        <v>191030.33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95842.17</v>
      </c>
      <c r="H621" s="109">
        <f>SUM(J52)</f>
        <v>95842.17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602611.22</v>
      </c>
      <c r="H622" s="109">
        <f>F476</f>
        <v>602611.21999999881</v>
      </c>
      <c r="I622" s="121" t="s">
        <v>101</v>
      </c>
      <c r="J622" s="109">
        <f t="shared" ref="J622:J655" si="50">G622-H622</f>
        <v>1.1641532182693481E-9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65436.65</v>
      </c>
      <c r="H623" s="109">
        <f>G476</f>
        <v>65436.649999999965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9237.2199999999993</v>
      </c>
      <c r="H624" s="109">
        <f>H476</f>
        <v>9237.2199999999721</v>
      </c>
      <c r="I624" s="121" t="s">
        <v>103</v>
      </c>
      <c r="J624" s="109">
        <f t="shared" si="50"/>
        <v>2.7284841053187847E-11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95842.17</v>
      </c>
      <c r="H626" s="109">
        <f>J476</f>
        <v>95842.170000000013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17831054.389999997</v>
      </c>
      <c r="H627" s="104">
        <f>SUM(F468)</f>
        <v>17831054.390000001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380888.6</v>
      </c>
      <c r="H628" s="104">
        <f>SUM(G468)</f>
        <v>380888.6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480925.97000000003</v>
      </c>
      <c r="H629" s="104">
        <f>SUM(H468)</f>
        <v>480925.97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122.22</v>
      </c>
      <c r="H631" s="104">
        <f>SUM(J468)</f>
        <v>122.22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17588819.52</v>
      </c>
      <c r="H632" s="104">
        <f>SUM(F472)</f>
        <v>17588819.52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475278.81000000006</v>
      </c>
      <c r="H633" s="104">
        <f>SUM(H472)</f>
        <v>475278.81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169849.61</v>
      </c>
      <c r="H634" s="104">
        <f>I369</f>
        <v>169849.61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378838.87</v>
      </c>
      <c r="H635" s="104">
        <f>SUM(G472)</f>
        <v>378838.87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122.22</v>
      </c>
      <c r="H637" s="164">
        <f>SUM(J468)</f>
        <v>122.22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54485.4</v>
      </c>
      <c r="H638" s="164">
        <f>SUM(J472)</f>
        <v>54485.4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95842.17</v>
      </c>
      <c r="H639" s="104">
        <f>SUM(F461)</f>
        <v>95842.17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95842.17</v>
      </c>
      <c r="H642" s="104">
        <f>SUM(I461)</f>
        <v>95842.17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122.22</v>
      </c>
      <c r="H644" s="104">
        <f>H408</f>
        <v>122.22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122.22</v>
      </c>
      <c r="H646" s="104">
        <f>L408</f>
        <v>122.22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700618.22000000009</v>
      </c>
      <c r="H647" s="104">
        <f>L208+L226+L244</f>
        <v>700618.22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305387.76</v>
      </c>
      <c r="H648" s="104">
        <f>(J257+J338)-(J255+J336)</f>
        <v>305387.76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195388.43</v>
      </c>
      <c r="H649" s="104">
        <f>H598</f>
        <v>195388.42799999999</v>
      </c>
      <c r="I649" s="140" t="s">
        <v>389</v>
      </c>
      <c r="J649" s="109">
        <f t="shared" si="50"/>
        <v>2.0000000076834112E-3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102107.56</v>
      </c>
      <c r="H650" s="104">
        <f>I598</f>
        <v>102107.564</v>
      </c>
      <c r="I650" s="140" t="s">
        <v>390</v>
      </c>
      <c r="J650" s="109">
        <f t="shared" si="50"/>
        <v>-4.0000000008149073E-3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403122.23</v>
      </c>
      <c r="H651" s="104">
        <f>J598</f>
        <v>403122.228</v>
      </c>
      <c r="I651" s="140" t="s">
        <v>391</v>
      </c>
      <c r="J651" s="109">
        <f t="shared" si="50"/>
        <v>1.9999999785795808E-3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7205939.8599999994</v>
      </c>
      <c r="G660" s="19">
        <f>(L229+L309+L359)</f>
        <v>3725044.7500000005</v>
      </c>
      <c r="H660" s="19">
        <f>(L247+L328+L360)</f>
        <v>6516040.9099999983</v>
      </c>
      <c r="I660" s="19">
        <f>SUM(F660:H660)</f>
        <v>17447025.519999996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88007.710128063161</v>
      </c>
      <c r="G661" s="19">
        <f>(L359/IF(SUM(L358:L360)=0,1,SUM(L358:L360))*(SUM(G97:G110)))</f>
        <v>56859.147498032624</v>
      </c>
      <c r="H661" s="19">
        <f>(L360/IF(SUM(L358:L360)=0,1,SUM(L358:L360))*(SUM(G97:G110)))</f>
        <v>70878.442373904254</v>
      </c>
      <c r="I661" s="19">
        <f>SUM(F661:H661)</f>
        <v>215745.30000000005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195388.43</v>
      </c>
      <c r="G662" s="19">
        <f>(L226+L306)-(J226+J306)</f>
        <v>102107.56</v>
      </c>
      <c r="H662" s="19">
        <f>(L244+L325)-(J244+J325)</f>
        <v>403122.23</v>
      </c>
      <c r="I662" s="19">
        <f>SUM(F662:H662)</f>
        <v>700618.22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166915.897958405</v>
      </c>
      <c r="G663" s="199">
        <f>SUM(G575:G587)+SUM(I602:I604)+L612</f>
        <v>84867.593580789995</v>
      </c>
      <c r="H663" s="199">
        <f>SUM(H575:H587)+SUM(J602:J604)+L613</f>
        <v>1073252.0897088049</v>
      </c>
      <c r="I663" s="19">
        <f>SUM(F663:H663)</f>
        <v>1325035.5812479998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6755627.8219135311</v>
      </c>
      <c r="G664" s="19">
        <f>G660-SUM(G661:G663)</f>
        <v>3481210.448921178</v>
      </c>
      <c r="H664" s="19">
        <f>H660-SUM(H661:H663)</f>
        <v>4968788.1479172893</v>
      </c>
      <c r="I664" s="19">
        <f>I660-SUM(I661:I663)</f>
        <v>15205626.418751996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462.09</v>
      </c>
      <c r="G665" s="248">
        <v>218.93</v>
      </c>
      <c r="H665" s="248">
        <v>272.69</v>
      </c>
      <c r="I665" s="19">
        <f>SUM(F665:H665)</f>
        <v>953.71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14619.72</v>
      </c>
      <c r="G667" s="19">
        <f>ROUND(G664/G665,2)</f>
        <v>15901.02</v>
      </c>
      <c r="H667" s="19">
        <f>ROUND(H664/H665,2)</f>
        <v>18221.38</v>
      </c>
      <c r="I667" s="19">
        <f>ROUND(I664/I665,2)</f>
        <v>15943.66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-15.83</v>
      </c>
      <c r="I670" s="19">
        <f>SUM(F670:H670)</f>
        <v>-15.83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14619.72</v>
      </c>
      <c r="G672" s="19">
        <f>ROUND((G664+G669)/(G665+G670),2)</f>
        <v>15901.02</v>
      </c>
      <c r="H672" s="19">
        <f>ROUND((H664+H669)/(H665+H670),2)</f>
        <v>19344.34</v>
      </c>
      <c r="I672" s="19">
        <f>ROUND((I664+I669)/(I665+I670),2)</f>
        <v>16212.76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3" sqref="B13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Epping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4075221.68</v>
      </c>
      <c r="C9" s="229">
        <f>'DOE25'!G197+'DOE25'!G215+'DOE25'!G233+'DOE25'!G276+'DOE25'!G295+'DOE25'!G314</f>
        <v>2036530.0199999998</v>
      </c>
    </row>
    <row r="10" spans="1:3" x14ac:dyDescent="0.2">
      <c r="A10" t="s">
        <v>779</v>
      </c>
      <c r="B10" s="240">
        <f>1377495.12+207976+923143.3+1232387.6+2800+120524.01+20000+1179.76+13100+559.48+693.26</f>
        <v>3899858.5299999993</v>
      </c>
      <c r="C10" s="240">
        <v>2023100.68</v>
      </c>
    </row>
    <row r="11" spans="1:3" x14ac:dyDescent="0.2">
      <c r="A11" t="s">
        <v>780</v>
      </c>
      <c r="B11" s="240">
        <v>78925.899999999994</v>
      </c>
      <c r="C11" s="240">
        <v>6176.39</v>
      </c>
    </row>
    <row r="12" spans="1:3" x14ac:dyDescent="0.2">
      <c r="A12" t="s">
        <v>781</v>
      </c>
      <c r="B12" s="240">
        <v>96437.25</v>
      </c>
      <c r="C12" s="240">
        <v>7252.95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4075221.6799999992</v>
      </c>
      <c r="C13" s="231">
        <f>SUM(C10:C12)</f>
        <v>2036530.0199999998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1685369.4300000002</v>
      </c>
      <c r="C18" s="229">
        <f>'DOE25'!G198+'DOE25'!G216+'DOE25'!G234+'DOE25'!G277+'DOE25'!G296+'DOE25'!G315</f>
        <v>649278.80999999994</v>
      </c>
    </row>
    <row r="19" spans="1:3" x14ac:dyDescent="0.2">
      <c r="A19" t="s">
        <v>779</v>
      </c>
      <c r="B19" s="240">
        <f>267690.42+87624.79+80767.5+210359.03+43216+6931.09+72255.1+73936.37</f>
        <v>842780.29999999993</v>
      </c>
      <c r="C19" s="240">
        <v>584820.75</v>
      </c>
    </row>
    <row r="20" spans="1:3" x14ac:dyDescent="0.2">
      <c r="A20" t="s">
        <v>780</v>
      </c>
      <c r="B20" s="240">
        <f>293179.83+81942.63+216141.04+145619.61+57370.64+18987.87</f>
        <v>813241.62</v>
      </c>
      <c r="C20" s="240">
        <v>62212.98</v>
      </c>
    </row>
    <row r="21" spans="1:3" x14ac:dyDescent="0.2">
      <c r="A21" t="s">
        <v>781</v>
      </c>
      <c r="B21" s="240">
        <f>29347.51</f>
        <v>29347.51</v>
      </c>
      <c r="C21" s="240">
        <v>2245.08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1685369.43</v>
      </c>
      <c r="C22" s="231">
        <f>SUM(C19:C21)</f>
        <v>649278.80999999994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215549.18</v>
      </c>
      <c r="C36" s="235">
        <f>'DOE25'!G200+'DOE25'!G218+'DOE25'!G236+'DOE25'!G279+'DOE25'!G298+'DOE25'!G317</f>
        <v>30896.92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18453+50980+61421.93+23505+7584+29596.5+4900+6022.5+9126.25+1755+180+2025</f>
        <v>215549.18</v>
      </c>
      <c r="C39" s="240">
        <f>226.44+1895.5+1411.15+1022.21+3740.72+4870.93+3089.3+24.12+335.43+101.81+866.07+354.77+7011.48+2741.9+3205.09</f>
        <v>30896.920000000002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215549.18</v>
      </c>
      <c r="C40" s="231">
        <f>SUM(C37:C39)</f>
        <v>30896.920000000002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Epping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10047909.630000001</v>
      </c>
      <c r="D5" s="20">
        <f>SUM('DOE25'!L197:L200)+SUM('DOE25'!L215:L218)+SUM('DOE25'!L233:L236)-F5-G5</f>
        <v>9937739.2600000016</v>
      </c>
      <c r="E5" s="243"/>
      <c r="F5" s="255">
        <f>SUM('DOE25'!J197:J200)+SUM('DOE25'!J215:J218)+SUM('DOE25'!J233:J236)</f>
        <v>101870.87</v>
      </c>
      <c r="G5" s="53">
        <f>SUM('DOE25'!K197:K200)+SUM('DOE25'!K215:K218)+SUM('DOE25'!K233:K236)</f>
        <v>8299.5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1453803.3399999999</v>
      </c>
      <c r="D6" s="20">
        <f>'DOE25'!L202+'DOE25'!L220+'DOE25'!L238-F6-G6</f>
        <v>1444268.7899999998</v>
      </c>
      <c r="E6" s="243"/>
      <c r="F6" s="255">
        <f>'DOE25'!J202+'DOE25'!J220+'DOE25'!J238</f>
        <v>9534.5499999999993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785200.28</v>
      </c>
      <c r="D7" s="20">
        <f>'DOE25'!L203+'DOE25'!L221+'DOE25'!L239-F7-G7</f>
        <v>637423.92000000016</v>
      </c>
      <c r="E7" s="243"/>
      <c r="F7" s="255">
        <f>'DOE25'!J203+'DOE25'!J221+'DOE25'!J239</f>
        <v>147441.40999999997</v>
      </c>
      <c r="G7" s="53">
        <f>'DOE25'!K203+'DOE25'!K221+'DOE25'!K239</f>
        <v>334.95</v>
      </c>
      <c r="H7" s="259"/>
    </row>
    <row r="8" spans="1:9" x14ac:dyDescent="0.2">
      <c r="A8" s="32">
        <v>2300</v>
      </c>
      <c r="B8" t="s">
        <v>802</v>
      </c>
      <c r="C8" s="245">
        <f t="shared" si="0"/>
        <v>535185.7699999999</v>
      </c>
      <c r="D8" s="243"/>
      <c r="E8" s="20">
        <f>'DOE25'!L204+'DOE25'!L222+'DOE25'!L240-F8-G8-D9-D11</f>
        <v>523827.09999999986</v>
      </c>
      <c r="F8" s="255">
        <f>'DOE25'!J204+'DOE25'!J222+'DOE25'!J240</f>
        <v>1356</v>
      </c>
      <c r="G8" s="53">
        <f>'DOE25'!K204+'DOE25'!K222+'DOE25'!K240</f>
        <v>10002.67</v>
      </c>
      <c r="H8" s="259"/>
    </row>
    <row r="9" spans="1:9" x14ac:dyDescent="0.2">
      <c r="A9" s="32">
        <v>2310</v>
      </c>
      <c r="B9" t="s">
        <v>818</v>
      </c>
      <c r="C9" s="245">
        <f t="shared" si="0"/>
        <v>55774.46</v>
      </c>
      <c r="D9" s="244">
        <v>55774.46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14595</v>
      </c>
      <c r="D10" s="243"/>
      <c r="E10" s="244">
        <v>14595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204571.9</v>
      </c>
      <c r="D11" s="244">
        <v>204571.9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1087276.6100000001</v>
      </c>
      <c r="D12" s="20">
        <f>'DOE25'!L205+'DOE25'!L223+'DOE25'!L241-F12-G12</f>
        <v>1068241.99</v>
      </c>
      <c r="E12" s="243"/>
      <c r="F12" s="255">
        <f>'DOE25'!J205+'DOE25'!J223+'DOE25'!J241</f>
        <v>687</v>
      </c>
      <c r="G12" s="53">
        <f>'DOE25'!K205+'DOE25'!K223+'DOE25'!K241</f>
        <v>18347.620000000003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1733367.65</v>
      </c>
      <c r="D14" s="20">
        <f>'DOE25'!L207+'DOE25'!L225+'DOE25'!L243-F14-G14</f>
        <v>1712146.0399999998</v>
      </c>
      <c r="E14" s="243"/>
      <c r="F14" s="255">
        <f>'DOE25'!J207+'DOE25'!J225+'DOE25'!J243</f>
        <v>21221.61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700618.22</v>
      </c>
      <c r="D15" s="20">
        <f>'DOE25'!L208+'DOE25'!L226+'DOE25'!L244-F15-G15</f>
        <v>700618.22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81023.399999999994</v>
      </c>
      <c r="D22" s="243"/>
      <c r="E22" s="243"/>
      <c r="F22" s="255">
        <f>'DOE25'!L255+'DOE25'!L336</f>
        <v>81023.399999999994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904088.26</v>
      </c>
      <c r="D25" s="243"/>
      <c r="E25" s="243"/>
      <c r="F25" s="258"/>
      <c r="G25" s="256"/>
      <c r="H25" s="257">
        <f>'DOE25'!L260+'DOE25'!L261+'DOE25'!L341+'DOE25'!L342</f>
        <v>904088.26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262731.02</v>
      </c>
      <c r="D29" s="20">
        <f>'DOE25'!L358+'DOE25'!L359+'DOE25'!L360-'DOE25'!I367-F29-G29</f>
        <v>259761.42</v>
      </c>
      <c r="E29" s="243"/>
      <c r="F29" s="255">
        <f>'DOE25'!J358+'DOE25'!J359+'DOE25'!J360</f>
        <v>1885.1</v>
      </c>
      <c r="G29" s="53">
        <f>'DOE25'!K358+'DOE25'!K359+'DOE25'!K360</f>
        <v>1084.5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464478.79000000004</v>
      </c>
      <c r="D31" s="20">
        <f>'DOE25'!L290+'DOE25'!L309+'DOE25'!L328+'DOE25'!L333+'DOE25'!L334+'DOE25'!L335-F31-G31</f>
        <v>441202.47000000003</v>
      </c>
      <c r="E31" s="243"/>
      <c r="F31" s="255">
        <f>'DOE25'!J290+'DOE25'!J309+'DOE25'!J328+'DOE25'!J333+'DOE25'!J334+'DOE25'!J335</f>
        <v>23276.32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16461748.470000003</v>
      </c>
      <c r="E33" s="246">
        <f>SUM(E5:E31)</f>
        <v>538422.09999999986</v>
      </c>
      <c r="F33" s="246">
        <f>SUM(F5:F31)</f>
        <v>388296.25999999995</v>
      </c>
      <c r="G33" s="246">
        <f>SUM(G5:G31)</f>
        <v>38069.240000000005</v>
      </c>
      <c r="H33" s="246">
        <f>SUM(H5:H31)</f>
        <v>904088.26</v>
      </c>
    </row>
    <row r="35" spans="2:8" ht="12" thickBot="1" x14ac:dyDescent="0.25">
      <c r="B35" s="253" t="s">
        <v>847</v>
      </c>
      <c r="D35" s="254">
        <f>E33</f>
        <v>538422.09999999986</v>
      </c>
      <c r="E35" s="249"/>
    </row>
    <row r="36" spans="2:8" ht="12" thickTop="1" x14ac:dyDescent="0.2">
      <c r="B36" t="s">
        <v>815</v>
      </c>
      <c r="D36" s="20">
        <f>D33</f>
        <v>16461748.470000003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141" sqref="C14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Epping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478930.86</v>
      </c>
      <c r="D8" s="95">
        <f>'DOE25'!G9</f>
        <v>389372.31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95842.17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494766.61</v>
      </c>
      <c r="D11" s="95">
        <f>'DOE25'!G12</f>
        <v>0</v>
      </c>
      <c r="E11" s="95">
        <f>'DOE25'!H12</f>
        <v>9237.2199999999993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101366.89</v>
      </c>
      <c r="D12" s="95">
        <f>'DOE25'!G13</f>
        <v>9114.39</v>
      </c>
      <c r="E12" s="95">
        <f>'DOE25'!H13</f>
        <v>181793.11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15988.32</v>
      </c>
      <c r="D13" s="95">
        <f>'DOE25'!G14</f>
        <v>553.95000000000005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44172.35</v>
      </c>
      <c r="D16" s="95">
        <f>'DOE25'!G17</f>
        <v>1784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1135225.03</v>
      </c>
      <c r="D18" s="41">
        <f>SUM(D8:D17)</f>
        <v>400824.65</v>
      </c>
      <c r="E18" s="41">
        <f>SUM(E8:E17)</f>
        <v>191030.33</v>
      </c>
      <c r="F18" s="41">
        <f>SUM(F8:F17)</f>
        <v>0</v>
      </c>
      <c r="G18" s="41">
        <f>SUM(G8:G17)</f>
        <v>95842.17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9237.2199999999993</v>
      </c>
      <c r="D21" s="95">
        <f>'DOE25'!G22</f>
        <v>330910.21000000002</v>
      </c>
      <c r="E21" s="95">
        <f>'DOE25'!H22</f>
        <v>163699.82999999999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252920.42</v>
      </c>
      <c r="D23" s="95">
        <f>'DOE25'!G24</f>
        <v>0</v>
      </c>
      <c r="E23" s="95">
        <f>'DOE25'!H24</f>
        <v>736.87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270276.17</v>
      </c>
      <c r="D27" s="95">
        <f>'DOE25'!G28</f>
        <v>4477.79</v>
      </c>
      <c r="E27" s="95">
        <f>'DOE25'!H28</f>
        <v>17356.41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180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532613.81000000006</v>
      </c>
      <c r="D31" s="41">
        <f>SUM(D21:D30)</f>
        <v>335388</v>
      </c>
      <c r="E31" s="41">
        <f>SUM(E21:E30)</f>
        <v>181793.11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200000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65436.65</v>
      </c>
      <c r="E47" s="95">
        <f>'DOE25'!H48</f>
        <v>9237.2199999999993</v>
      </c>
      <c r="F47" s="95">
        <f>'DOE25'!I48</f>
        <v>0</v>
      </c>
      <c r="G47" s="95">
        <f>'DOE25'!J48</f>
        <v>95842.17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352611.22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602611.22</v>
      </c>
      <c r="D50" s="41">
        <f>SUM(D34:D49)</f>
        <v>65436.65</v>
      </c>
      <c r="E50" s="41">
        <f>SUM(E34:E49)</f>
        <v>9237.2199999999993</v>
      </c>
      <c r="F50" s="41">
        <f>SUM(F34:F49)</f>
        <v>0</v>
      </c>
      <c r="G50" s="41">
        <f>SUM(G34:G49)</f>
        <v>95842.17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1135225.03</v>
      </c>
      <c r="D51" s="41">
        <f>D50+D31</f>
        <v>400824.65</v>
      </c>
      <c r="E51" s="41">
        <f>E50+E31</f>
        <v>191030.33</v>
      </c>
      <c r="F51" s="41">
        <f>F50+F31</f>
        <v>0</v>
      </c>
      <c r="G51" s="41">
        <f>G50+G31</f>
        <v>95842.17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11720474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148946.39000000001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122.22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215745.30000000002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419240.67</v>
      </c>
      <c r="D61" s="95">
        <f>SUM('DOE25'!G98:G110)</f>
        <v>0</v>
      </c>
      <c r="E61" s="95">
        <f>SUM('DOE25'!H98:H110)</f>
        <v>7800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568187.06000000006</v>
      </c>
      <c r="D62" s="130">
        <f>SUM(D57:D61)</f>
        <v>215745.30000000002</v>
      </c>
      <c r="E62" s="130">
        <f>SUM(E57:E61)</f>
        <v>7800</v>
      </c>
      <c r="F62" s="130">
        <f>SUM(F57:F61)</f>
        <v>0</v>
      </c>
      <c r="G62" s="130">
        <f>SUM(G57:G61)</f>
        <v>122.22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12288661.060000001</v>
      </c>
      <c r="D63" s="22">
        <f>D56+D62</f>
        <v>215745.30000000002</v>
      </c>
      <c r="E63" s="22">
        <f>E56+E62</f>
        <v>7800</v>
      </c>
      <c r="F63" s="22">
        <f>F56+F62</f>
        <v>0</v>
      </c>
      <c r="G63" s="22">
        <f>G56+G62</f>
        <v>122.22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3290613.68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1578972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6756.31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4876341.9899999993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243874.6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155545.69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12376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5602.33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411796.29000000004</v>
      </c>
      <c r="D78" s="130">
        <f>SUM(D72:D77)</f>
        <v>5602.33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5288138.2799999993</v>
      </c>
      <c r="D81" s="130">
        <f>SUM(D79:D80)+D78+D70</f>
        <v>5602.33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199768.65</v>
      </c>
      <c r="D88" s="95">
        <f>SUM('DOE25'!G153:G161)</f>
        <v>159540.97</v>
      </c>
      <c r="E88" s="95">
        <f>SUM('DOE25'!H153:H161)</f>
        <v>473125.97000000003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199768.65</v>
      </c>
      <c r="D91" s="131">
        <f>SUM(D85:D90)</f>
        <v>159540.97</v>
      </c>
      <c r="E91" s="131">
        <f>SUM(E85:E90)</f>
        <v>473125.97000000003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54486.400000000001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54486.400000000001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17831054.389999997</v>
      </c>
      <c r="D104" s="86">
        <f>D63+D81+D91+D103</f>
        <v>380888.6</v>
      </c>
      <c r="E104" s="86">
        <f>E63+E81+E91+E103</f>
        <v>480925.97000000003</v>
      </c>
      <c r="F104" s="86">
        <f>F63+F81+F91+F103</f>
        <v>0</v>
      </c>
      <c r="G104" s="86">
        <f>G63+G81+G103</f>
        <v>122.22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6241127.9400000004</v>
      </c>
      <c r="D109" s="24" t="s">
        <v>289</v>
      </c>
      <c r="E109" s="95">
        <f>('DOE25'!L276)+('DOE25'!L295)+('DOE25'!L314)</f>
        <v>132577.85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3333265.31</v>
      </c>
      <c r="D110" s="24" t="s">
        <v>289</v>
      </c>
      <c r="E110" s="95">
        <f>('DOE25'!L277)+('DOE25'!L296)+('DOE25'!L315)</f>
        <v>157056.46000000002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91679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381837.38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10047909.630000001</v>
      </c>
      <c r="D115" s="86">
        <f>SUM(D109:D114)</f>
        <v>0</v>
      </c>
      <c r="E115" s="86">
        <f>SUM(E109:E114)</f>
        <v>289634.31000000006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1453803.3399999999</v>
      </c>
      <c r="D118" s="24" t="s">
        <v>289</v>
      </c>
      <c r="E118" s="95">
        <f>+('DOE25'!L281)+('DOE25'!L300)+('DOE25'!L319)</f>
        <v>28860.9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785200.28</v>
      </c>
      <c r="D119" s="24" t="s">
        <v>289</v>
      </c>
      <c r="E119" s="95">
        <f>+('DOE25'!L282)+('DOE25'!L301)+('DOE25'!L320)</f>
        <v>135107.23000000001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795532.12999999989</v>
      </c>
      <c r="D120" s="24" t="s">
        <v>289</v>
      </c>
      <c r="E120" s="95">
        <f>+('DOE25'!L283)+('DOE25'!L302)+('DOE25'!L321)</f>
        <v>10876.35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1087276.6100000001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1733367.65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700618.22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378838.87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6555798.2299999995</v>
      </c>
      <c r="D128" s="86">
        <f>SUM(D118:D127)</f>
        <v>378838.87</v>
      </c>
      <c r="E128" s="86">
        <f>SUM(E118:E127)</f>
        <v>174844.48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81023.399999999994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575000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329088.26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10800.02</v>
      </c>
      <c r="F134" s="95">
        <f>'DOE25'!K381</f>
        <v>0</v>
      </c>
      <c r="G134" s="95">
        <f>'DOE25'!K434</f>
        <v>54485.4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122.22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-122.22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985111.66</v>
      </c>
      <c r="D144" s="141">
        <f>SUM(D130:D143)</f>
        <v>0</v>
      </c>
      <c r="E144" s="141">
        <f>SUM(E130:E143)</f>
        <v>10800.02</v>
      </c>
      <c r="F144" s="141">
        <f>SUM(F130:F143)</f>
        <v>0</v>
      </c>
      <c r="G144" s="141">
        <f>SUM(G130:G143)</f>
        <v>54485.4</v>
      </c>
    </row>
    <row r="145" spans="1:9" ht="12.75" thickTop="1" thickBot="1" x14ac:dyDescent="0.25">
      <c r="A145" s="33" t="s">
        <v>244</v>
      </c>
      <c r="C145" s="86">
        <f>(C115+C128+C144)</f>
        <v>17588819.52</v>
      </c>
      <c r="D145" s="86">
        <f>(D115+D128+D144)</f>
        <v>378838.87</v>
      </c>
      <c r="E145" s="86">
        <f>(E115+E128+E144)</f>
        <v>475278.81000000006</v>
      </c>
      <c r="F145" s="86">
        <f>(F115+F128+F144)</f>
        <v>0</v>
      </c>
      <c r="G145" s="86">
        <f>(G115+G128+G144)</f>
        <v>54485.4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12072350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4.13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8010000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8010000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575000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575000</v>
      </c>
    </row>
    <row r="159" spans="1:9" x14ac:dyDescent="0.2">
      <c r="A159" s="22" t="s">
        <v>35</v>
      </c>
      <c r="B159" s="137">
        <f>'DOE25'!F498</f>
        <v>7435000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7435000</v>
      </c>
    </row>
    <row r="160" spans="1:9" x14ac:dyDescent="0.2">
      <c r="A160" s="22" t="s">
        <v>36</v>
      </c>
      <c r="B160" s="137">
        <f>'DOE25'!F499</f>
        <v>1814841.83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1814841.83</v>
      </c>
    </row>
    <row r="161" spans="1:7" x14ac:dyDescent="0.2">
      <c r="A161" s="22" t="s">
        <v>37</v>
      </c>
      <c r="B161" s="137">
        <f>'DOE25'!F500</f>
        <v>9249841.8300000001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9249841.8300000001</v>
      </c>
    </row>
    <row r="162" spans="1:7" x14ac:dyDescent="0.2">
      <c r="A162" s="22" t="s">
        <v>38</v>
      </c>
      <c r="B162" s="137">
        <f>'DOE25'!F501</f>
        <v>605000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605000</v>
      </c>
    </row>
    <row r="163" spans="1:7" x14ac:dyDescent="0.2">
      <c r="A163" s="22" t="s">
        <v>39</v>
      </c>
      <c r="B163" s="137">
        <f>'DOE25'!F502</f>
        <v>299588.26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299588.26</v>
      </c>
    </row>
    <row r="164" spans="1:7" x14ac:dyDescent="0.2">
      <c r="A164" s="22" t="s">
        <v>246</v>
      </c>
      <c r="B164" s="137">
        <f>'DOE25'!F503</f>
        <v>904588.26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904588.26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40" sqref="C40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Epping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14620</v>
      </c>
    </row>
    <row r="5" spans="1:4" x14ac:dyDescent="0.2">
      <c r="B5" t="s">
        <v>704</v>
      </c>
      <c r="C5" s="179">
        <f>IF('DOE25'!G665+'DOE25'!G670=0,0,ROUND('DOE25'!G672,0))</f>
        <v>15901</v>
      </c>
    </row>
    <row r="6" spans="1:4" x14ac:dyDescent="0.2">
      <c r="B6" t="s">
        <v>62</v>
      </c>
      <c r="C6" s="179">
        <f>IF('DOE25'!H665+'DOE25'!H670=0,0,ROUND('DOE25'!H672,0))</f>
        <v>19344</v>
      </c>
    </row>
    <row r="7" spans="1:4" x14ac:dyDescent="0.2">
      <c r="B7" t="s">
        <v>705</v>
      </c>
      <c r="C7" s="179">
        <f>IF('DOE25'!I665+'DOE25'!I670=0,0,ROUND('DOE25'!I672,0))</f>
        <v>16213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6373706</v>
      </c>
      <c r="D10" s="182">
        <f>ROUND((C10/$C$28)*100,1)</f>
        <v>36.299999999999997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3490322</v>
      </c>
      <c r="D11" s="182">
        <f>ROUND((C11/$C$28)*100,1)</f>
        <v>19.899999999999999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91679</v>
      </c>
      <c r="D12" s="182">
        <f>ROUND((C12/$C$28)*100,1)</f>
        <v>0.5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381837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1482664</v>
      </c>
      <c r="D15" s="182">
        <f t="shared" ref="D15:D27" si="0">ROUND((C15/$C$28)*100,1)</f>
        <v>8.4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920308</v>
      </c>
      <c r="D16" s="182">
        <f t="shared" si="0"/>
        <v>5.2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806408</v>
      </c>
      <c r="D17" s="182">
        <f t="shared" si="0"/>
        <v>4.5999999999999996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1087277</v>
      </c>
      <c r="D18" s="182">
        <f t="shared" si="0"/>
        <v>6.2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1733368</v>
      </c>
      <c r="D20" s="182">
        <f t="shared" si="0"/>
        <v>9.9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700618</v>
      </c>
      <c r="D21" s="182">
        <f t="shared" si="0"/>
        <v>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329088</v>
      </c>
      <c r="D25" s="182">
        <f t="shared" si="0"/>
        <v>1.9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163093.69999999998</v>
      </c>
      <c r="D27" s="182">
        <f t="shared" si="0"/>
        <v>0.9</v>
      </c>
    </row>
    <row r="28" spans="1:4" x14ac:dyDescent="0.2">
      <c r="B28" s="187" t="s">
        <v>723</v>
      </c>
      <c r="C28" s="180">
        <f>SUM(C10:C27)</f>
        <v>17560368.699999999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81023</v>
      </c>
    </row>
    <row r="30" spans="1:4" x14ac:dyDescent="0.2">
      <c r="B30" s="187" t="s">
        <v>729</v>
      </c>
      <c r="C30" s="180">
        <f>SUM(C28:C29)</f>
        <v>17641391.699999999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575000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11720474</v>
      </c>
      <c r="D35" s="182">
        <f t="shared" ref="D35:D40" si="1">ROUND((C35/$C$41)*100,1)</f>
        <v>63.6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576109.28000000119</v>
      </c>
      <c r="D36" s="182">
        <f t="shared" si="1"/>
        <v>3.1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4869586</v>
      </c>
      <c r="D37" s="182">
        <f t="shared" si="1"/>
        <v>26.4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424155</v>
      </c>
      <c r="D38" s="182">
        <f t="shared" si="1"/>
        <v>2.2999999999999998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832436</v>
      </c>
      <c r="D39" s="182">
        <f t="shared" si="1"/>
        <v>4.5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18422760.280000001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Epping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3</v>
      </c>
      <c r="B4" s="219">
        <v>23</v>
      </c>
      <c r="C4" s="285" t="s">
        <v>916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 t="s">
        <v>917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2016-09-08T13:28:36Z</cp:lastPrinted>
  <dcterms:created xsi:type="dcterms:W3CDTF">1997-12-04T19:04:30Z</dcterms:created>
  <dcterms:modified xsi:type="dcterms:W3CDTF">2016-11-29T14:43:05Z</dcterms:modified>
</cp:coreProperties>
</file>