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555" yWindow="-120" windowWidth="13665" windowHeight="1107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5" i="10" s="1"/>
  <c r="F7" i="13"/>
  <c r="D7" i="13" s="1"/>
  <c r="C7" i="13" s="1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E118" i="2" s="1"/>
  <c r="L282" i="1"/>
  <c r="E119" i="2" s="1"/>
  <c r="L283" i="1"/>
  <c r="E120" i="2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2" i="10"/>
  <c r="C13" i="10"/>
  <c r="C16" i="10"/>
  <c r="C19" i="10"/>
  <c r="C20" i="10"/>
  <c r="L250" i="1"/>
  <c r="L332" i="1"/>
  <c r="L254" i="1"/>
  <c r="C25" i="10"/>
  <c r="L268" i="1"/>
  <c r="C26" i="10" s="1"/>
  <c r="L269" i="1"/>
  <c r="L349" i="1"/>
  <c r="L350" i="1"/>
  <c r="I665" i="1"/>
  <c r="I670" i="1"/>
  <c r="L229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9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7" i="1" s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J640" i="1" s="1"/>
  <c r="H460" i="1"/>
  <c r="I460" i="1"/>
  <c r="I461" i="1" s="1"/>
  <c r="H642" i="1" s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8" i="1" s="1"/>
  <c r="G647" i="1" s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1" i="1"/>
  <c r="H641" i="1"/>
  <c r="G643" i="1"/>
  <c r="H643" i="1"/>
  <c r="G644" i="1"/>
  <c r="H644" i="1"/>
  <c r="G650" i="1"/>
  <c r="G652" i="1"/>
  <c r="H652" i="1"/>
  <c r="G653" i="1"/>
  <c r="H653" i="1"/>
  <c r="G654" i="1"/>
  <c r="H654" i="1"/>
  <c r="H655" i="1"/>
  <c r="F192" i="1"/>
  <c r="L256" i="1"/>
  <c r="G164" i="2"/>
  <c r="L328" i="1"/>
  <c r="L351" i="1"/>
  <c r="A31" i="12"/>
  <c r="C70" i="2"/>
  <c r="D18" i="13"/>
  <c r="C18" i="13" s="1"/>
  <c r="D15" i="13"/>
  <c r="C15" i="13" s="1"/>
  <c r="D17" i="13"/>
  <c r="C17" i="13" s="1"/>
  <c r="C91" i="2"/>
  <c r="F78" i="2"/>
  <c r="F81" i="2" s="1"/>
  <c r="D50" i="2"/>
  <c r="G157" i="2"/>
  <c r="F18" i="2"/>
  <c r="G161" i="2"/>
  <c r="G156" i="2"/>
  <c r="E103" i="2"/>
  <c r="E62" i="2"/>
  <c r="E63" i="2" s="1"/>
  <c r="G62" i="2"/>
  <c r="D19" i="13"/>
  <c r="C19" i="13" s="1"/>
  <c r="D14" i="13"/>
  <c r="C14" i="13" s="1"/>
  <c r="E13" i="13"/>
  <c r="C13" i="13" s="1"/>
  <c r="E78" i="2"/>
  <c r="E81" i="2" s="1"/>
  <c r="J257" i="1"/>
  <c r="J271" i="1" s="1"/>
  <c r="H112" i="1"/>
  <c r="J641" i="1"/>
  <c r="J571" i="1"/>
  <c r="K571" i="1"/>
  <c r="L433" i="1"/>
  <c r="L419" i="1"/>
  <c r="D81" i="2"/>
  <c r="I169" i="1"/>
  <c r="H169" i="1"/>
  <c r="J644" i="1"/>
  <c r="J643" i="1"/>
  <c r="F476" i="1"/>
  <c r="H622" i="1" s="1"/>
  <c r="J622" i="1" s="1"/>
  <c r="I476" i="1"/>
  <c r="H625" i="1" s="1"/>
  <c r="J625" i="1" s="1"/>
  <c r="J140" i="1"/>
  <c r="I552" i="1"/>
  <c r="K550" i="1"/>
  <c r="G22" i="2"/>
  <c r="K545" i="1"/>
  <c r="C29" i="10"/>
  <c r="H140" i="1"/>
  <c r="L401" i="1"/>
  <c r="C139" i="2" s="1"/>
  <c r="L393" i="1"/>
  <c r="F22" i="13"/>
  <c r="C22" i="13" s="1"/>
  <c r="H571" i="1"/>
  <c r="L560" i="1"/>
  <c r="H192" i="1"/>
  <c r="C35" i="10"/>
  <c r="L309" i="1"/>
  <c r="E16" i="13"/>
  <c r="L570" i="1"/>
  <c r="I571" i="1"/>
  <c r="J636" i="1"/>
  <c r="G36" i="2"/>
  <c r="L565" i="1"/>
  <c r="C138" i="2"/>
  <c r="C16" i="13"/>
  <c r="K549" i="1" l="1"/>
  <c r="D6" i="13"/>
  <c r="C6" i="13" s="1"/>
  <c r="L247" i="1"/>
  <c r="H660" i="1" s="1"/>
  <c r="H664" i="1" s="1"/>
  <c r="H672" i="1" s="1"/>
  <c r="C6" i="10" s="1"/>
  <c r="F112" i="1"/>
  <c r="C110" i="2"/>
  <c r="C115" i="2" s="1"/>
  <c r="H545" i="1"/>
  <c r="G545" i="1"/>
  <c r="A40" i="12"/>
  <c r="L544" i="1"/>
  <c r="K551" i="1"/>
  <c r="L534" i="1"/>
  <c r="L524" i="1"/>
  <c r="F552" i="1"/>
  <c r="C109" i="2"/>
  <c r="D18" i="2"/>
  <c r="J639" i="1"/>
  <c r="I446" i="1"/>
  <c r="G642" i="1" s="1"/>
  <c r="J617" i="1"/>
  <c r="K338" i="1"/>
  <c r="K352" i="1" s="1"/>
  <c r="C17" i="10"/>
  <c r="J634" i="1"/>
  <c r="G649" i="1"/>
  <c r="J649" i="1" s="1"/>
  <c r="H476" i="1"/>
  <c r="H624" i="1" s="1"/>
  <c r="J624" i="1" s="1"/>
  <c r="G476" i="1"/>
  <c r="H623" i="1" s="1"/>
  <c r="J623" i="1" s="1"/>
  <c r="I662" i="1"/>
  <c r="J651" i="1"/>
  <c r="H647" i="1"/>
  <c r="J647" i="1" s="1"/>
  <c r="J655" i="1"/>
  <c r="G645" i="1"/>
  <c r="J645" i="1" s="1"/>
  <c r="K271" i="1"/>
  <c r="C131" i="2"/>
  <c r="H25" i="13"/>
  <c r="E115" i="2"/>
  <c r="F661" i="1"/>
  <c r="H257" i="1"/>
  <c r="H271" i="1" s="1"/>
  <c r="C124" i="2"/>
  <c r="H52" i="1"/>
  <c r="H619" i="1" s="1"/>
  <c r="J619" i="1" s="1"/>
  <c r="D29" i="13"/>
  <c r="C29" i="13" s="1"/>
  <c r="C118" i="2"/>
  <c r="G661" i="1"/>
  <c r="I661" i="1" s="1"/>
  <c r="L362" i="1"/>
  <c r="G635" i="1" s="1"/>
  <c r="J635" i="1" s="1"/>
  <c r="D127" i="2"/>
  <c r="D128" i="2" s="1"/>
  <c r="D145" i="2" s="1"/>
  <c r="E128" i="2"/>
  <c r="L290" i="1"/>
  <c r="L338" i="1" s="1"/>
  <c r="L352" i="1" s="1"/>
  <c r="G633" i="1" s="1"/>
  <c r="J633" i="1" s="1"/>
  <c r="D12" i="13"/>
  <c r="C12" i="13" s="1"/>
  <c r="C18" i="10"/>
  <c r="C120" i="2"/>
  <c r="E33" i="13"/>
  <c r="D35" i="13" s="1"/>
  <c r="C11" i="10"/>
  <c r="L211" i="1"/>
  <c r="D5" i="13"/>
  <c r="C5" i="13" s="1"/>
  <c r="C10" i="10"/>
  <c r="C81" i="2"/>
  <c r="C62" i="2"/>
  <c r="C56" i="2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K552" i="1" l="1"/>
  <c r="L545" i="1"/>
  <c r="E145" i="2"/>
  <c r="H646" i="1"/>
  <c r="J646" i="1" s="1"/>
  <c r="G104" i="2"/>
  <c r="C25" i="13"/>
  <c r="H33" i="13"/>
  <c r="H667" i="1"/>
  <c r="G664" i="1"/>
  <c r="G667" i="1" s="1"/>
  <c r="C128" i="2"/>
  <c r="C145" i="2" s="1"/>
  <c r="D31" i="13"/>
  <c r="C31" i="13" s="1"/>
  <c r="C27" i="10"/>
  <c r="C28" i="10" s="1"/>
  <c r="D22" i="10" s="1"/>
  <c r="G672" i="1"/>
  <c r="C5" i="10" s="1"/>
  <c r="F660" i="1"/>
  <c r="F664" i="1" s="1"/>
  <c r="F667" i="1" s="1"/>
  <c r="L257" i="1"/>
  <c r="L271" i="1" s="1"/>
  <c r="G632" i="1" s="1"/>
  <c r="J632" i="1" s="1"/>
  <c r="C63" i="2"/>
  <c r="C104" i="2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I660" i="1"/>
  <c r="I664" i="1" s="1"/>
  <c r="I672" i="1" s="1"/>
  <c r="C7" i="10" s="1"/>
  <c r="F672" i="1"/>
  <c r="C4" i="10" s="1"/>
  <c r="D23" i="10"/>
  <c r="D24" i="10"/>
  <c r="D27" i="10"/>
  <c r="D10" i="10"/>
  <c r="D20" i="10"/>
  <c r="D13" i="10"/>
  <c r="D17" i="10"/>
  <c r="C30" i="10"/>
  <c r="D25" i="10"/>
  <c r="D21" i="10"/>
  <c r="D18" i="10"/>
  <c r="D26" i="10"/>
  <c r="D16" i="10"/>
  <c r="D12" i="10"/>
  <c r="D15" i="10"/>
  <c r="D19" i="10"/>
  <c r="D11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<sst xmlns="http://schemas.openxmlformats.org/spreadsheetml/2006/main" count="3956" uniqueCount="914">
  <si>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</si>
  <si>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</si>
  <si>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</si>
  <si>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</si>
  <si>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</si>
  <si>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</si>
  <si>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</si>
  <si>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</si>
  <si>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</si>
  <si>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</si>
  <si>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</si>
  <si>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</si>
  <si>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</si>
  <si>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</si>
  <si>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</si>
  <si>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</si>
  <si>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</si>
  <si>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</si>
  <si>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</si>
  <si>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</si>
  <si>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</si>
  <si>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</si>
  <si>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</si>
  <si>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</si>
  <si>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</si>
  <si>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</si>
  <si>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</si>
  <si>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</si>
  <si>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</si>
  <si>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</si>
  <si>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</si>
  <si>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</si>
  <si>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</si>
  <si>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</si>
  <si>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</si>
  <si>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</si>
  <si>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</si>
  <si>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</si>
  <si>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</si>
  <si>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</si>
  <si>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</si>
  <si>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</si>
  <si>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</si>
  <si>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</si>
  <si>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</si>
  <si>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</si>
  <si>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</si>
  <si>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</si>
  <si>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</si>
  <si>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</si>
  <si>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</si>
  <si>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</si>
  <si>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</si>
  <si>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</si>
  <si>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</si>
  <si>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</si>
  <si>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</si>
  <si>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</si>
  <si>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</si>
  <si>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</si>
  <si>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</si>
  <si>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</si>
  <si>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</si>
  <si>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</si>
  <si>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</si>
  <si>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</si>
  <si>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</si>
  <si>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</si>
  <si>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</si>
  <si>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</si>
  <si>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</si>
  <si>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</si>
  <si>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</si>
  <si>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</si>
  <si>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</si>
  <si>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</si>
  <si>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</si>
  <si>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</si>
  <si>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</si>
  <si>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</si>
  <si>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</si>
  <si>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</si>
  <si>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</si>
  <si>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</si>
  <si>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</si>
  <si>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</si>
  <si>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</si>
  <si>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</si>
  <si>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</si>
  <si>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</si>
  <si>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</si>
  <si>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</si>
  <si>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</si>
  <si>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</si>
  <si>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</si>
  <si>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</si>
  <si>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</si>
  <si>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</si>
  <si>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</si>
  <si>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</si>
  <si>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</si>
  <si>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</si>
  <si>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</si>
  <si>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</si>
  <si>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</si>
  <si>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</si>
  <si>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</si>
  <si>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</si>
  <si>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</si>
  <si>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</si>
  <si>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</si>
  <si>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</si>
  <si>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</si>
  <si>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</si>
  <si>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</si>
  <si>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</si>
  <si>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</si>
  <si>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</si>
  <si>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</si>
  <si>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</si>
  <si>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</si>
  <si>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</si>
  <si>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</si>
  <si>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</si>
  <si>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</si>
  <si>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</si>
  <si>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</si>
  <si>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</si>
  <si>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</si>
  <si>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</si>
  <si>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</si>
  <si>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</si>
  <si>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</si>
  <si>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</si>
  <si>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</si>
  <si>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</si>
  <si>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</si>
  <si>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</si>
  <si>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</si>
  <si>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</si>
  <si>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</si>
  <si>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</si>
  <si>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</si>
  <si>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</si>
  <si>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</si>
  <si>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</si>
  <si>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</si>
  <si>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</si>
  <si>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</si>
  <si>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</si>
  <si>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</si>
  <si>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</si>
  <si>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</si>
  <si>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</si>
  <si>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</si>
  <si>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</si>
  <si>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</si>
  <si>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</si>
  <si>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</si>
  <si>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</si>
  <si>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</si>
  <si>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</si>
  <si>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</si>
  <si>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</si>
  <si>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</si>
  <si>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</si>
  <si>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</si>
  <si>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</si>
  <si>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</si>
  <si>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</si>
  <si>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</si>
  <si>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</si>
  <si>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</si>
  <si>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</si>
  <si>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</si>
  <si>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</si>
  <si>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</si>
  <si>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</si>
  <si>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</si>
  <si>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</si>
  <si>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</si>
  <si>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</si>
  <si>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</si>
  <si>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</si>
  <si>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</si>
  <si>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</si>
  <si>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</si>
  <si>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</si>
  <si>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</si>
  <si>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</si>
  <si>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</si>
  <si>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</si>
  <si>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</si>
  <si>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</si>
  <si>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</si>
  <si>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</si>
  <si>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</si>
  <si>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</si>
  <si>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</si>
  <si>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</si>
  <si>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</si>
  <si>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</si>
  <si>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</si>
  <si>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</si>
  <si>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</si>
  <si>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</si>
  <si>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</si>
  <si>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</si>
  <si>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</si>
  <si>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</si>
  <si>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</si>
  <si>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</si>
  <si>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</si>
  <si>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</si>
  <si>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</si>
  <si>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</si>
  <si>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</si>
  <si>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</si>
  <si>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</si>
  <si>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</si>
  <si>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</si>
  <si>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</si>
  <si>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</si>
  <si>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</si>
  <si>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</si>
  <si>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</si>
  <si>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</si>
  <si>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</si>
  <si>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</si>
  <si>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</si>
  <si>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</si>
  <si>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</si>
  <si>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</si>
  <si>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</si>
  <si>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</si>
  <si>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</si>
  <si>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</si>
  <si>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</si>
  <si>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</si>
  <si>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</si>
  <si>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</si>
  <si>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</si>
  <si>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</si>
  <si>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</si>
  <si>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</si>
  <si>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</si>
  <si>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</si>
  <si>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</si>
  <si>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</si>
  <si>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</si>
  <si>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</si>
  <si>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</si>
  <si>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</si>
  <si>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</si>
  <si>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</si>
  <si>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</si>
  <si>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</si>
  <si>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</si>
  <si>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</si>
  <si>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</si>
  <si>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</si>
  <si>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</si>
  <si>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</si>
  <si>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</si>
  <si>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</si>
  <si>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</si>
  <si>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</si>
  <si>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</si>
  <si>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</si>
  <si>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</si>
  <si>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</si>
  <si>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</si>
  <si>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</si>
  <si>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</si>
  <si>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</si>
  <si>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</si>
  <si>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</si>
  <si>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</si>
  <si>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</si>
  <si>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</si>
  <si>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</si>
  <si>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</si>
  <si>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</si>
  <si>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</si>
  <si>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</si>
  <si>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</si>
  <si>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</si>
  <si>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</si>
  <si>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</si>
  <si>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</si>
  <si>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</si>
  <si>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</si>
  <si>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</si>
  <si>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</si>
  <si>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</si>
  <si>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</si>
  <si>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</si>
  <si>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</si>
  <si>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</si>
  <si>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</si>
  <si>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</si>
  <si>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</si>
  <si>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</si>
  <si>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</si>
  <si>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</si>
  <si>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</si>
  <si>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</si>
  <si>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</si>
  <si>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</si>
  <si>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</si>
  <si>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</si>
  <si>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</si>
  <si>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</si>
  <si>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</si>
  <si>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</si>
  <si>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</si>
  <si>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</si>
  <si>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</si>
  <si>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</si>
  <si>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</si>
  <si>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</si>
  <si>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</si>
  <si>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</si>
  <si>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</si>
  <si>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</si>
  <si>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</si>
  <si>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</si>
  <si>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</si>
  <si>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</si>
  <si>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</si>
  <si>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</si>
  <si>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</si>
  <si>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</si>
  <si>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</si>
  <si>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</si>
  <si>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</si>
  <si>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</si>
  <si>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</si>
  <si>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</si>
  <si>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</si>
  <si>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</si>
  <si>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</si>
  <si>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</si>
  <si>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</si>
  <si>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</si>
  <si>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</si>
  <si>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</si>
  <si>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</si>
  <si>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</si>
  <si>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</si>
  <si>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</si>
  <si>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</si>
  <si>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</si>
  <si>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</si>
  <si>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</si>
  <si>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</si>
  <si>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</si>
  <si>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</si>
  <si>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</si>
  <si>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</si>
  <si>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</si>
  <si>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</si>
  <si>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</si>
  <si>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</si>
  <si>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</si>
  <si>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</si>
  <si>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</si>
  <si>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</si>
  <si>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</si>
  <si>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</si>
  <si>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</si>
  <si>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</si>
  <si>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</si>
  <si>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</si>
  <si>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</si>
  <si>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</si>
  <si>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</si>
  <si>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</si>
  <si>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</si>
  <si>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</si>
  <si>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</si>
  <si>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</si>
  <si>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</si>
  <si>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</si>
  <si>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</si>
  <si>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</si>
  <si>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</si>
  <si>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</si>
  <si>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</si>
  <si>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</si>
  <si>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</si>
  <si>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</si>
  <si>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</si>
  <si>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</si>
  <si>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</si>
  <si>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</si>
  <si>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</si>
  <si>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</si>
  <si>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</si>
  <si>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</si>
  <si>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</si>
  <si>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</si>
  <si>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</si>
  <si>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</si>
  <si>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</si>
  <si>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</si>
  <si>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</si>
  <si>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</si>
  <si>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</si>
  <si>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</si>
  <si>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</si>
  <si>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</si>
  <si>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</si>
  <si>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</si>
  <si>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</si>
  <si>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</si>
  <si>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</si>
  <si>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</si>
  <si>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</si>
  <si>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</si>
  <si>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</si>
  <si>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</si>
  <si>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</si>
  <si>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</si>
  <si>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</si>
  <si>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</si>
  <si>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</si>
  <si>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</si>
  <si>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</si>
  <si>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</si>
  <si>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</si>
  <si>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</si>
  <si>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</si>
  <si>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</si>
  <si>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</si>
  <si>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</si>
  <si>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</si>
  <si>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</si>
  <si>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</si>
  <si>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</si>
  <si>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</si>
  <si>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</si>
  <si>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</si>
  <si>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</si>
  <si>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</si>
  <si>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</si>
  <si>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</si>
  <si>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</si>
  <si>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</si>
  <si>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</si>
  <si>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</si>
  <si>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</si>
  <si>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</si>
  <si>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</si>
  <si>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</si>
  <si>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</si>
  <si>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</si>
  <si>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</si>
  <si>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</si>
  <si>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</si>
  <si>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</si>
  <si>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</si>
  <si>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</si>
  <si>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</si>
  <si>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</si>
  <si>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</si>
  <si>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</si>
  <si>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</si>
  <si>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</si>
  <si>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</si>
  <si>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</si>
  <si>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</si>
  <si>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</si>
  <si>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</si>
  <si>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</si>
  <si>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</si>
  <si>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</si>
  <si>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</si>
  <si>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</si>
  <si>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</si>
  <si>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</si>
  <si>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</si>
  <si>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</si>
  <si>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</si>
  <si>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</si>
  <si>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</si>
  <si>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</si>
  <si>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</si>
  <si>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</si>
  <si>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</si>
  <si>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</si>
  <si>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</si>
  <si>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</si>
  <si>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</si>
  <si>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</si>
  <si>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</si>
  <si>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</si>
  <si>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</si>
  <si>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</si>
  <si>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</si>
  <si>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</si>
  <si>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</si>
  <si>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</si>
  <si>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</si>
  <si>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</si>
  <si>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</si>
  <si>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</si>
  <si>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</si>
  <si>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</si>
  <si>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</si>
  <si>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</si>
  <si>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</si>
  <si>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</si>
  <si>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</si>
  <si>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</si>
  <si>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</si>
  <si>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</si>
  <si>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</si>
  <si>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</si>
  <si>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</si>
  <si>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</si>
  <si>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</si>
  <si>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</si>
  <si>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</si>
  <si>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</si>
  <si>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</si>
  <si>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</si>
  <si>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</si>
  <si>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</si>
  <si>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</si>
  <si>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</si>
  <si>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</si>
  <si>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</si>
  <si>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</si>
  <si>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</si>
  <si>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</si>
  <si>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</si>
  <si>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</si>
  <si>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</si>
  <si>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</si>
  <si>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</si>
  <si>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</si>
  <si>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</si>
  <si>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</si>
  <si>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</si>
  <si>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</si>
  <si>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</si>
  <si>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</si>
  <si>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</si>
  <si>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</si>
  <si>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</si>
  <si>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</si>
  <si>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</si>
  <si>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</si>
  <si>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</si>
  <si>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</si>
  <si>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</si>
  <si>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</si>
  <si>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</si>
  <si>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</si>
  <si>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</si>
  <si>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</si>
  <si>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</si>
  <si>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</si>
  <si>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</si>
  <si>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</si>
  <si>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</si>
  <si>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</si>
  <si>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</si>
  <si>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</si>
  <si>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</si>
  <si>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</si>
  <si>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</si>
  <si>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</si>
  <si>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</si>
  <si>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</si>
  <si>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</si>
  <si>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</si>
  <si>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</si>
  <si>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</si>
  <si>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</si>
  <si>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</si>
  <si>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</si>
  <si>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</si>
  <si>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</si>
  <si>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</si>
  <si>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</si>
  <si>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</si>
  <si>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</si>
  <si>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</si>
  <si>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</si>
  <si>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</si>
  <si>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</si>
  <si>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</si>
  <si>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</si>
  <si>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</si>
  <si>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</si>
  <si>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</si>
  <si>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</si>
  <si>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</si>
  <si>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</si>
  <si>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</si>
  <si>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</si>
  <si>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</si>
  <si>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</si>
  <si>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</si>
  <si>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</si>
  <si>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</si>
  <si>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</si>
  <si>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</si>
  <si>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</si>
  <si>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</si>
  <si>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</si>
  <si>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</si>
  <si>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</si>
  <si>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</si>
  <si>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</si>
  <si>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</si>
  <si>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</si>
  <si>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</si>
  <si>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</si>
  <si>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</si>
  <si>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</si>
  <si>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</si>
  <si>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</si>
  <si>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</si>
  <si>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</si>
  <si>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</si>
  <si>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</si>
  <si>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</si>
  <si>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</si>
  <si>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</si>
  <si>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</si>
  <si>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</si>
  <si>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</si>
  <si>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</si>
  <si>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</si>
  <si>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</si>
  <si>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</si>
  <si>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</si>
  <si>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</si>
  <si>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</si>
  <si>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</si>
  <si>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</si>
  <si>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</si>
  <si>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</si>
  <si>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</si>
  <si>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</si>
  <si>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</si>
  <si>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</si>
  <si>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</si>
  <si>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</si>
  <si>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</si>
  <si>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</si>
  <si>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</si>
  <si>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</si>
  <si>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</si>
  <si>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</si>
  <si>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</si>
  <si>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</si>
  <si>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</si>
  <si>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</si>
  <si>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</si>
  <si>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</si>
  <si>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</si>
  <si>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</si>
  <si>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</si>
  <si>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</si>
  <si>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</si>
  <si>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</si>
  <si>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</si>
  <si>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</si>
  <si>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</si>
  <si>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</si>
  <si>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</si>
  <si>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</si>
  <si>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</si>
  <si>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</si>
  <si>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</si>
  <si>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</si>
  <si>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</si>
  <si>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</si>
  <si>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</si>
  <si>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</si>
  <si>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</si>
  <si>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</si>
  <si>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</si>
  <si>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</si>
  <si>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</si>
  <si>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</si>
  <si>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</si>
  <si>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</si>
  <si>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</si>
  <si>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</si>
  <si>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</si>
  <si>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</si>
  <si>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</si>
  <si>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</si>
  <si>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</si>
  <si>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</si>
  <si>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</si>
  <si>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</si>
  <si>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</si>
  <si>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</si>
  <si>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</si>
  <si>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</si>
  <si>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</si>
  <si>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</si>
  <si>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</si>
  <si>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</si>
  <si>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</si>
  <si>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</si>
  <si>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</si>
  <si>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</si>
  <si>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</si>
  <si>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</si>
  <si>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</si>
  <si>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</si>
  <si>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</si>
  <si>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</si>
  <si>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</si>
  <si>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</si>
  <si>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</si>
  <si>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</si>
  <si>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</si>
  <si>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</si>
  <si>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</si>
  <si>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</si>
  <si>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</si>
  <si>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</si>
  <si>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</si>
  <si>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</si>
  <si>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</si>
  <si>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</si>
  <si>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</si>
  <si>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</si>
  <si>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</si>
  <si>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</si>
  <si>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</si>
  <si>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</si>
  <si>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</si>
  <si>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</si>
  <si>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</si>
  <si>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</si>
  <si>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</si>
  <si>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</si>
  <si>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</si>
  <si>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</si>
  <si>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</si>
  <si>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</si>
  <si>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</si>
  <si>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</si>
  <si>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</si>
  <si>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</si>
  <si>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</si>
  <si>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</si>
  <si>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</si>
  <si>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</si>
  <si>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</si>
  <si>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</si>
  <si>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</si>
  <si>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</si>
  <si>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</si>
  <si>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</si>
  <si>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</si>
  <si>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</si>
  <si>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</si>
  <si>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</si>
  <si>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</si>
  <si>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</si>
  <si>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</si>
  <si>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</si>
  <si>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</si>
  <si>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</si>
  <si>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</si>
  <si>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</si>
  <si>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</si>
  <si>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</si>
  <si>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</si>
  <si>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</si>
  <si>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</si>
  <si>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</si>
  <si>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</si>
  <si>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</si>
  <si>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</si>
  <si>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</si>
  <si>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</si>
  <si>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</si>
  <si>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</si>
  <si>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</si>
  <si>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</si>
  <si>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</si>
  <si>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</si>
  <si>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</si>
  <si>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</si>
  <si>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</si>
  <si>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</si>
  <si>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</si>
  <si>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</si>
  <si>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</si>
  <si>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</si>
  <si>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</si>
  <si>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</si>
  <si>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</si>
  <si>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</si>
  <si>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</si>
  <si>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</si>
  <si>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</si>
  <si>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</si>
  <si>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</si>
  <si>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</si>
  <si>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</si>
  <si>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</si>
  <si>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</si>
  <si>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</si>
  <si>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</si>
  <si>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</si>
  <si>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</si>
  <si>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</si>
  <si>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</si>
  <si>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</si>
  <si>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</si>
  <si>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</si>
  <si>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</si>
  <si>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</si>
  <si>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</si>
  <si>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</si>
  <si>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</si>
  <si>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</si>
  <si>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</si>
  <si>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</si>
  <si>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</si>
  <si>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</si>
  <si>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</si>
  <si>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</si>
  <si>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</si>
  <si>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</si>
  <si>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</si>
  <si>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</si>
  <si>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</si>
  <si>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</si>
  <si>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</si>
  <si>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</si>
  <si>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</si>
  <si>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</si>
  <si>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</si>
  <si>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</si>
  <si>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</si>
  <si>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</si>
  <si>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</si>
  <si>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</si>
  <si>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</si>
  <si>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</si>
  <si>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</si>
  <si>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</si>
  <si>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</si>
  <si>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</si>
  <si>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</si>
  <si>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</si>
  <si>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</si>
  <si>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</si>
  <si>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</si>
  <si>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</si>
  <si>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</si>
  <si>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</si>
  <si>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</si>
  <si>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</si>
  <si>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</si>
  <si>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</si>
  <si>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</si>
  <si>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</si>
  <si>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</si>
  <si>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</si>
  <si>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</si>
  <si>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</si>
  <si>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</si>
  <si>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</si>
  <si>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</si>
  <si>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</si>
  <si>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</si>
  <si>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</si>
  <si>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</si>
  <si>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</si>
  <si>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</si>
  <si>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</si>
  <si>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</si>
  <si>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</si>
  <si>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</si>
  <si>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</si>
  <si>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</si>
  <si>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</si>
  <si>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</si>
  <si>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</si>
  <si>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</si>
  <si>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</si>
  <si>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</si>
  <si>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</si>
  <si>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</si>
  <si>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</si>
  <si>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</si>
  <si>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</si>
  <si>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</si>
  <si>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</si>
  <si>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</si>
  <si>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</si>
  <si>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</si>
  <si>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</si>
  <si>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</si>
  <si>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</si>
  <si>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</si>
  <si>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</si>
  <si>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</si>
  <si>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Epsom School District</t>
  </si>
  <si>
    <t>surplus for FY14/15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</si>
</sst>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A677" sqref="A67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167</v>
      </c>
      <c r="C2" s="21">
        <v>167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545589.85</v>
      </c>
      <c r="G9" s="18"/>
      <c r="H9" s="18"/>
      <c r="I9" s="18"/>
      <c r="J9" s="67">
        <f>SUM(I439)</f>
        <v>246196.1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450.76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35309.26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36715.03</v>
      </c>
      <c r="G13" s="18">
        <v>2558.9499999999998</v>
      </c>
      <c r="H13" s="18">
        <v>33439.56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11514.64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618064.9</v>
      </c>
      <c r="G19" s="41">
        <f>SUM(G9:G18)</f>
        <v>14073.59</v>
      </c>
      <c r="H19" s="41">
        <f>SUM(H9:H18)</f>
        <v>33439.56</v>
      </c>
      <c r="I19" s="41">
        <f>SUM(I9:I18)</f>
        <v>0</v>
      </c>
      <c r="J19" s="41">
        <f>SUM(J9:J18)</f>
        <v>246196.1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2664.8</v>
      </c>
      <c r="H22" s="18">
        <v>32644.46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291836.68</v>
      </c>
      <c r="G23" s="18">
        <v>1408.79</v>
      </c>
      <c r="H23" s="18">
        <v>795.1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3613.3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318470.43</v>
      </c>
      <c r="G25" s="145"/>
      <c r="H25" s="18">
        <v>0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-663.34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613257.06999999995</v>
      </c>
      <c r="G32" s="41">
        <f>SUM(G22:G31)</f>
        <v>4073.59</v>
      </c>
      <c r="H32" s="41">
        <f>SUM(H22:H31)</f>
        <v>33439.56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10000</v>
      </c>
      <c r="H48" s="18"/>
      <c r="I48" s="18"/>
      <c r="J48" s="13">
        <f>SUM(I459)</f>
        <v>246196.1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4807.83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4807.83</v>
      </c>
      <c r="G51" s="41">
        <f>SUM(G35:G50)</f>
        <v>10000</v>
      </c>
      <c r="H51" s="41">
        <f>SUM(H35:H50)</f>
        <v>0</v>
      </c>
      <c r="I51" s="41">
        <f>SUM(I35:I50)</f>
        <v>0</v>
      </c>
      <c r="J51" s="41">
        <f>SUM(J35:J50)</f>
        <v>246196.1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618064.89999999991</v>
      </c>
      <c r="G52" s="41">
        <f>G51+G32</f>
        <v>14073.59</v>
      </c>
      <c r="H52" s="41">
        <f>H51+H32</f>
        <v>33439.56</v>
      </c>
      <c r="I52" s="41">
        <f>I51+I32</f>
        <v>0</v>
      </c>
      <c r="J52" s="41">
        <f>J51+J32</f>
        <v>246196.1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5858447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5858447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1000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1000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1078.58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1078.58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98281.65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2251.39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5044.38</v>
      </c>
      <c r="G110" s="18">
        <v>0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7295.77</v>
      </c>
      <c r="G111" s="41">
        <f>SUM(G96:G110)</f>
        <v>98281.65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5867821.3499999996</v>
      </c>
      <c r="G112" s="41">
        <f>G60+G111</f>
        <v>98281.65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2561276.89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914393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2446.5700000000002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3478116.46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33967.339999999997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2467.79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33967.339999999997</v>
      </c>
      <c r="G136" s="41">
        <f>SUM(G123:G135)</f>
        <v>2467.79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3512083.8</v>
      </c>
      <c r="G140" s="41">
        <f>G121+SUM(G136:G137)</f>
        <v>2467.79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67583.16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24345.32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68510.509999999995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69889.67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69889.67</v>
      </c>
      <c r="G162" s="41">
        <f>SUM(G150:G161)</f>
        <v>68510.509999999995</v>
      </c>
      <c r="H162" s="41">
        <f>SUM(H150:H161)</f>
        <v>91928.48000000001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69889.67</v>
      </c>
      <c r="G169" s="41">
        <f>G147+G162+SUM(G163:G168)</f>
        <v>68510.509999999995</v>
      </c>
      <c r="H169" s="41">
        <f>H147+H162+SUM(H163:H168)</f>
        <v>91928.48000000001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17950.16</v>
      </c>
      <c r="H179" s="18"/>
      <c r="I179" s="18"/>
      <c r="J179" s="18">
        <v>40000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17950.16</v>
      </c>
      <c r="H183" s="41">
        <f>SUM(H179:H182)</f>
        <v>0</v>
      </c>
      <c r="I183" s="41">
        <f>SUM(I179:I182)</f>
        <v>0</v>
      </c>
      <c r="J183" s="41">
        <f>SUM(J179:J182)</f>
        <v>40000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692.03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692.03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692.03</v>
      </c>
      <c r="G192" s="41">
        <f>G183+SUM(G188:G191)</f>
        <v>17950.16</v>
      </c>
      <c r="H192" s="41">
        <f>+H183+SUM(H188:H191)</f>
        <v>0</v>
      </c>
      <c r="I192" s="41">
        <f>I177+I183+SUM(I188:I191)</f>
        <v>0</v>
      </c>
      <c r="J192" s="41">
        <f>J183</f>
        <v>40000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9450486.8499999978</v>
      </c>
      <c r="G193" s="47">
        <f>G112+G140+G169+G192</f>
        <v>187210.11</v>
      </c>
      <c r="H193" s="47">
        <f>H112+H140+H169+H192</f>
        <v>91928.48000000001</v>
      </c>
      <c r="I193" s="47">
        <f>I112+I140+I169+I192</f>
        <v>0</v>
      </c>
      <c r="J193" s="47">
        <f>J112+J140+J192</f>
        <v>40000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1869719.72</v>
      </c>
      <c r="G197" s="18">
        <v>1130747</v>
      </c>
      <c r="H197" s="18">
        <v>7986.01</v>
      </c>
      <c r="I197" s="18">
        <v>61413.55</v>
      </c>
      <c r="J197" s="18">
        <v>34410.82</v>
      </c>
      <c r="K197" s="18"/>
      <c r="L197" s="19">
        <f>SUM(F197:K197)</f>
        <v>3104277.0999999992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559483.73</v>
      </c>
      <c r="G198" s="18">
        <v>338400.09</v>
      </c>
      <c r="H198" s="18">
        <v>337368.51</v>
      </c>
      <c r="I198" s="18">
        <v>5854.61</v>
      </c>
      <c r="J198" s="18">
        <v>7410</v>
      </c>
      <c r="K198" s="18"/>
      <c r="L198" s="19">
        <f>SUM(F198:K198)</f>
        <v>1248516.9400000002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31986</v>
      </c>
      <c r="G200" s="18">
        <v>19288.990000000002</v>
      </c>
      <c r="H200" s="18">
        <v>4871.8</v>
      </c>
      <c r="I200" s="18">
        <v>1561.75</v>
      </c>
      <c r="J200" s="18">
        <v>0</v>
      </c>
      <c r="K200" s="18">
        <v>330</v>
      </c>
      <c r="L200" s="19">
        <f>SUM(F200:K200)</f>
        <v>58038.540000000008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125156</v>
      </c>
      <c r="G202" s="18">
        <v>75657.8</v>
      </c>
      <c r="H202" s="18">
        <v>313948.39</v>
      </c>
      <c r="I202" s="18">
        <v>708.06</v>
      </c>
      <c r="J202" s="18">
        <v>0</v>
      </c>
      <c r="K202" s="18">
        <v>1319.25</v>
      </c>
      <c r="L202" s="19">
        <f t="shared" ref="L202:L208" si="0">SUM(F202:K202)</f>
        <v>516789.5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47019.8</v>
      </c>
      <c r="G203" s="18">
        <v>30066.22</v>
      </c>
      <c r="H203" s="18">
        <v>11748.9</v>
      </c>
      <c r="I203" s="18">
        <v>1887.75</v>
      </c>
      <c r="J203" s="18">
        <v>195.57</v>
      </c>
      <c r="K203" s="18"/>
      <c r="L203" s="19">
        <f t="shared" si="0"/>
        <v>90918.24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8500</v>
      </c>
      <c r="G204" s="18">
        <v>4869.07</v>
      </c>
      <c r="H204" s="18">
        <v>261480.21</v>
      </c>
      <c r="I204" s="18">
        <v>1493.87</v>
      </c>
      <c r="J204" s="18"/>
      <c r="K204" s="18">
        <v>3466.35</v>
      </c>
      <c r="L204" s="19">
        <f t="shared" si="0"/>
        <v>279809.49999999994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329403.83</v>
      </c>
      <c r="G205" s="18">
        <v>199257.18</v>
      </c>
      <c r="H205" s="18">
        <v>54302.42</v>
      </c>
      <c r="I205" s="18">
        <v>10274.99</v>
      </c>
      <c r="J205" s="18">
        <v>0</v>
      </c>
      <c r="K205" s="18">
        <v>2480.35</v>
      </c>
      <c r="L205" s="19">
        <f t="shared" si="0"/>
        <v>595718.77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125818.71</v>
      </c>
      <c r="G207" s="18">
        <v>76032.34</v>
      </c>
      <c r="H207" s="18">
        <v>132439.47</v>
      </c>
      <c r="I207" s="18">
        <v>99871.73</v>
      </c>
      <c r="J207" s="18">
        <v>5846.66</v>
      </c>
      <c r="K207" s="18"/>
      <c r="L207" s="19">
        <f t="shared" si="0"/>
        <v>440008.91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392779.02</v>
      </c>
      <c r="I208" s="18"/>
      <c r="J208" s="18"/>
      <c r="K208" s="18"/>
      <c r="L208" s="19">
        <f t="shared" si="0"/>
        <v>392779.02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3097087.79</v>
      </c>
      <c r="G211" s="41">
        <f t="shared" si="1"/>
        <v>1874318.6900000002</v>
      </c>
      <c r="H211" s="41">
        <f t="shared" si="1"/>
        <v>1516924.73</v>
      </c>
      <c r="I211" s="41">
        <f t="shared" si="1"/>
        <v>183066.31</v>
      </c>
      <c r="J211" s="41">
        <f t="shared" si="1"/>
        <v>47863.05</v>
      </c>
      <c r="K211" s="41">
        <f t="shared" si="1"/>
        <v>7595.9500000000007</v>
      </c>
      <c r="L211" s="41">
        <f t="shared" si="1"/>
        <v>6726856.5199999996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2186679.75</v>
      </c>
      <c r="I233" s="18"/>
      <c r="J233" s="18"/>
      <c r="K233" s="18"/>
      <c r="L233" s="19">
        <f>SUM(F233:K233)</f>
        <v>2186679.75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337010.98</v>
      </c>
      <c r="I234" s="18"/>
      <c r="J234" s="18"/>
      <c r="K234" s="18"/>
      <c r="L234" s="19">
        <f>SUM(F234:K234)</f>
        <v>337010.98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155891.32</v>
      </c>
      <c r="I238" s="18"/>
      <c r="J238" s="18"/>
      <c r="K238" s="18"/>
      <c r="L238" s="19">
        <f t="shared" ref="L238:L244" si="4">SUM(F238:K238)</f>
        <v>155891.32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54509.45</v>
      </c>
      <c r="I244" s="18"/>
      <c r="J244" s="18"/>
      <c r="K244" s="18"/>
      <c r="L244" s="19">
        <f t="shared" si="4"/>
        <v>54509.45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2734091.5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2734091.5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17148.509999999998</v>
      </c>
      <c r="I255" s="18"/>
      <c r="J255" s="18"/>
      <c r="K255" s="18"/>
      <c r="L255" s="19">
        <f t="shared" si="6"/>
        <v>17148.509999999998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17148.509999999998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17148.509999999998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3097087.79</v>
      </c>
      <c r="G257" s="41">
        <f t="shared" si="8"/>
        <v>1874318.6900000002</v>
      </c>
      <c r="H257" s="41">
        <f t="shared" si="8"/>
        <v>4268164.74</v>
      </c>
      <c r="I257" s="41">
        <f t="shared" si="8"/>
        <v>183066.31</v>
      </c>
      <c r="J257" s="41">
        <f t="shared" si="8"/>
        <v>47863.05</v>
      </c>
      <c r="K257" s="41">
        <f t="shared" si="8"/>
        <v>7595.9500000000007</v>
      </c>
      <c r="L257" s="41">
        <f t="shared" si="8"/>
        <v>9478096.5299999993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17950.16</v>
      </c>
      <c r="L263" s="19">
        <f>SUM(F263:K263)</f>
        <v>17950.16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40000</v>
      </c>
      <c r="L266" s="19">
        <f t="shared" si="9"/>
        <v>40000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33196.74</v>
      </c>
      <c r="L268" s="19">
        <f t="shared" si="9"/>
        <v>33196.74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91146.9</v>
      </c>
      <c r="L270" s="41">
        <f t="shared" si="9"/>
        <v>91146.9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3097087.79</v>
      </c>
      <c r="G271" s="42">
        <f t="shared" si="11"/>
        <v>1874318.6900000002</v>
      </c>
      <c r="H271" s="42">
        <f t="shared" si="11"/>
        <v>4268164.74</v>
      </c>
      <c r="I271" s="42">
        <f t="shared" si="11"/>
        <v>183066.31</v>
      </c>
      <c r="J271" s="42">
        <f t="shared" si="11"/>
        <v>47863.05</v>
      </c>
      <c r="K271" s="42">
        <f t="shared" si="11"/>
        <v>98742.849999999991</v>
      </c>
      <c r="L271" s="42">
        <f t="shared" si="11"/>
        <v>9569243.4299999997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60933.440000000002</v>
      </c>
      <c r="G276" s="18">
        <v>4925.47</v>
      </c>
      <c r="H276" s="18">
        <v>370.18</v>
      </c>
      <c r="I276" s="18">
        <v>11457.13</v>
      </c>
      <c r="J276" s="18">
        <v>61.97</v>
      </c>
      <c r="K276" s="18"/>
      <c r="L276" s="19">
        <f>SUM(F276:K276)</f>
        <v>77748.19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0</v>
      </c>
      <c r="J281" s="18">
        <v>0</v>
      </c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10507.72</v>
      </c>
      <c r="I282" s="18">
        <v>0</v>
      </c>
      <c r="J282" s="18">
        <v>0</v>
      </c>
      <c r="K282" s="18"/>
      <c r="L282" s="19">
        <f t="shared" si="12"/>
        <v>10507.72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/>
      <c r="H283" s="18"/>
      <c r="I283" s="18"/>
      <c r="J283" s="18"/>
      <c r="K283" s="18">
        <v>2643.73</v>
      </c>
      <c r="L283" s="19">
        <f t="shared" si="12"/>
        <v>2643.73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250</v>
      </c>
      <c r="G284" s="18"/>
      <c r="H284" s="18"/>
      <c r="I284" s="18"/>
      <c r="J284" s="18"/>
      <c r="K284" s="18"/>
      <c r="L284" s="19">
        <f t="shared" si="12"/>
        <v>250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778.84</v>
      </c>
      <c r="I287" s="18"/>
      <c r="J287" s="18"/>
      <c r="K287" s="18"/>
      <c r="L287" s="19">
        <f t="shared" si="12"/>
        <v>778.84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61183.44</v>
      </c>
      <c r="G290" s="42">
        <f t="shared" si="13"/>
        <v>4925.47</v>
      </c>
      <c r="H290" s="42">
        <f t="shared" si="13"/>
        <v>11656.74</v>
      </c>
      <c r="I290" s="42">
        <f t="shared" si="13"/>
        <v>11457.13</v>
      </c>
      <c r="J290" s="42">
        <f t="shared" si="13"/>
        <v>61.97</v>
      </c>
      <c r="K290" s="42">
        <f t="shared" si="13"/>
        <v>2643.73</v>
      </c>
      <c r="L290" s="41">
        <f t="shared" si="13"/>
        <v>91928.48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61183.44</v>
      </c>
      <c r="G338" s="41">
        <f t="shared" si="20"/>
        <v>4925.47</v>
      </c>
      <c r="H338" s="41">
        <f t="shared" si="20"/>
        <v>11656.74</v>
      </c>
      <c r="I338" s="41">
        <f t="shared" si="20"/>
        <v>11457.13</v>
      </c>
      <c r="J338" s="41">
        <f t="shared" si="20"/>
        <v>61.97</v>
      </c>
      <c r="K338" s="41">
        <f t="shared" si="20"/>
        <v>2643.73</v>
      </c>
      <c r="L338" s="41">
        <f t="shared" si="20"/>
        <v>91928.48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61183.44</v>
      </c>
      <c r="G352" s="41">
        <f>G338</f>
        <v>4925.47</v>
      </c>
      <c r="H352" s="41">
        <f>H338</f>
        <v>11656.74</v>
      </c>
      <c r="I352" s="41">
        <f>I338</f>
        <v>11457.13</v>
      </c>
      <c r="J352" s="41">
        <f>J338</f>
        <v>61.97</v>
      </c>
      <c r="K352" s="47">
        <f>K338+K351</f>
        <v>2643.73</v>
      </c>
      <c r="L352" s="41">
        <f>L338+L351</f>
        <v>91928.48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68544.89</v>
      </c>
      <c r="G358" s="18">
        <v>49295.87</v>
      </c>
      <c r="H358" s="18">
        <v>2708.54</v>
      </c>
      <c r="I358" s="18">
        <v>66117.279999999999</v>
      </c>
      <c r="J358" s="18">
        <v>335.72</v>
      </c>
      <c r="K358" s="18">
        <v>900</v>
      </c>
      <c r="L358" s="13">
        <f>SUM(F358:K358)</f>
        <v>187902.30000000002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68544.89</v>
      </c>
      <c r="G362" s="47">
        <f t="shared" si="22"/>
        <v>49295.87</v>
      </c>
      <c r="H362" s="47">
        <f t="shared" si="22"/>
        <v>2708.54</v>
      </c>
      <c r="I362" s="47">
        <f t="shared" si="22"/>
        <v>66117.279999999999</v>
      </c>
      <c r="J362" s="47">
        <f t="shared" si="22"/>
        <v>335.72</v>
      </c>
      <c r="K362" s="47">
        <f t="shared" si="22"/>
        <v>900</v>
      </c>
      <c r="L362" s="47">
        <f t="shared" si="22"/>
        <v>187902.30000000002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59893.35</v>
      </c>
      <c r="G367" s="18"/>
      <c r="H367" s="18"/>
      <c r="I367" s="56">
        <f>SUM(F367:H367)</f>
        <v>59893.35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6223.93</v>
      </c>
      <c r="G368" s="63"/>
      <c r="H368" s="63"/>
      <c r="I368" s="56">
        <f>SUM(F368:H368)</f>
        <v>6223.93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66117.279999999999</v>
      </c>
      <c r="G369" s="47">
        <f>SUM(G367:G368)</f>
        <v>0</v>
      </c>
      <c r="H369" s="47">
        <f>SUM(H367:H368)</f>
        <v>0</v>
      </c>
      <c r="I369" s="47">
        <f>SUM(I367:I368)</f>
        <v>66117.279999999999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40000</v>
      </c>
      <c r="H397" s="18"/>
      <c r="I397" s="18"/>
      <c r="J397" s="24" t="s">
        <v>289</v>
      </c>
      <c r="K397" s="24" t="s">
        <v>289</v>
      </c>
      <c r="L397" s="56">
        <f t="shared" si="26"/>
        <v>40000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>
        <v>692.03</v>
      </c>
      <c r="L425" s="56">
        <f t="shared" si="29"/>
        <v>692.03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692.03</v>
      </c>
      <c r="L427" s="47">
        <f t="shared" si="30"/>
        <v>692.03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692.03</v>
      </c>
      <c r="L434" s="47">
        <f t="shared" si="32"/>
        <v>692.03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181073.26</v>
      </c>
      <c r="G439" s="18">
        <v>65122.84</v>
      </c>
      <c r="H439" s="18"/>
      <c r="I439" s="56">
        <f t="shared" ref="I439:I445" si="33">SUM(F439:H439)</f>
        <v>246196.1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181073.26</v>
      </c>
      <c r="G446" s="13">
        <f>SUM(G439:G445)</f>
        <v>65122.84</v>
      </c>
      <c r="H446" s="13">
        <f>SUM(H439:H445)</f>
        <v>0</v>
      </c>
      <c r="I446" s="13">
        <f>SUM(I439:I445)</f>
        <v>246196.1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181073.26</v>
      </c>
      <c r="G459" s="18">
        <v>65122.84</v>
      </c>
      <c r="H459" s="18"/>
      <c r="I459" s="56">
        <f t="shared" si="34"/>
        <v>246196.1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181073.26</v>
      </c>
      <c r="G460" s="83">
        <f>SUM(G454:G459)</f>
        <v>65122.84</v>
      </c>
      <c r="H460" s="83">
        <f>SUM(H454:H459)</f>
        <v>0</v>
      </c>
      <c r="I460" s="83">
        <f>SUM(I454:I459)</f>
        <v>246196.1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181073.26</v>
      </c>
      <c r="G461" s="42">
        <f>G452+G460</f>
        <v>65122.84</v>
      </c>
      <c r="H461" s="42">
        <f>H452+H460</f>
        <v>0</v>
      </c>
      <c r="I461" s="42">
        <f>I452+I460</f>
        <v>246196.1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123564.41</v>
      </c>
      <c r="G465" s="18">
        <v>10692.19</v>
      </c>
      <c r="H465" s="18"/>
      <c r="I465" s="18"/>
      <c r="J465" s="18">
        <v>202524.41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9450486.8499999996</v>
      </c>
      <c r="G468" s="18">
        <v>187210.11</v>
      </c>
      <c r="H468" s="18">
        <v>91928.48</v>
      </c>
      <c r="I468" s="18">
        <v>0</v>
      </c>
      <c r="J468" s="18">
        <v>40000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0</v>
      </c>
      <c r="H469" s="18"/>
      <c r="I469" s="18"/>
      <c r="J469" s="18">
        <v>4363.72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9450486.8499999996</v>
      </c>
      <c r="G470" s="53">
        <f>SUM(G468:G469)</f>
        <v>187210.11</v>
      </c>
      <c r="H470" s="53">
        <f>SUM(H468:H469)</f>
        <v>91928.48</v>
      </c>
      <c r="I470" s="53">
        <f>SUM(I468:I469)</f>
        <v>0</v>
      </c>
      <c r="J470" s="53">
        <f>SUM(J468:J469)</f>
        <v>44363.72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9569243.4299999997</v>
      </c>
      <c r="G472" s="18">
        <v>187902.3</v>
      </c>
      <c r="H472" s="18">
        <v>91928.48</v>
      </c>
      <c r="I472" s="18"/>
      <c r="J472" s="18">
        <v>692.03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9569243.4299999997</v>
      </c>
      <c r="G474" s="53">
        <f>SUM(G472:G473)</f>
        <v>187902.3</v>
      </c>
      <c r="H474" s="53">
        <f>SUM(H472:H473)</f>
        <v>91928.48</v>
      </c>
      <c r="I474" s="53">
        <f>SUM(I472:I473)</f>
        <v>0</v>
      </c>
      <c r="J474" s="53">
        <f>SUM(J472:J473)</f>
        <v>692.03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4807.8300000000745</v>
      </c>
      <c r="G476" s="53">
        <f>(G465+G470)- G474</f>
        <v>10000</v>
      </c>
      <c r="H476" s="53">
        <f>(H465+H470)- H474</f>
        <v>0</v>
      </c>
      <c r="I476" s="53">
        <f>(I465+I470)- I474</f>
        <v>0</v>
      </c>
      <c r="J476" s="53">
        <f>(J465+J470)- J474</f>
        <v>246196.1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1924.18</v>
      </c>
      <c r="G507" s="144"/>
      <c r="H507" s="144">
        <v>2587.52</v>
      </c>
      <c r="I507" s="144">
        <v>663.34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559483.73</v>
      </c>
      <c r="G521" s="18">
        <v>338400.09</v>
      </c>
      <c r="H521" s="18">
        <v>337368.51</v>
      </c>
      <c r="I521" s="18">
        <v>5854.61</v>
      </c>
      <c r="J521" s="18">
        <v>7410</v>
      </c>
      <c r="K521" s="18"/>
      <c r="L521" s="88">
        <f>SUM(F521:K521)</f>
        <v>1248516.9400000002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337010.98</v>
      </c>
      <c r="I523" s="18"/>
      <c r="J523" s="18"/>
      <c r="K523" s="18"/>
      <c r="L523" s="88">
        <f>SUM(F523:K523)</f>
        <v>337010.98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559483.73</v>
      </c>
      <c r="G524" s="108">
        <f t="shared" ref="G524:L524" si="36">SUM(G521:G523)</f>
        <v>338400.09</v>
      </c>
      <c r="H524" s="108">
        <f t="shared" si="36"/>
        <v>674379.49</v>
      </c>
      <c r="I524" s="108">
        <f t="shared" si="36"/>
        <v>5854.61</v>
      </c>
      <c r="J524" s="108">
        <f t="shared" si="36"/>
        <v>7410</v>
      </c>
      <c r="K524" s="108">
        <f t="shared" si="36"/>
        <v>0</v>
      </c>
      <c r="L524" s="89">
        <f t="shared" si="36"/>
        <v>1585527.9200000002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313948.39</v>
      </c>
      <c r="I526" s="18"/>
      <c r="J526" s="18"/>
      <c r="K526" s="18"/>
      <c r="L526" s="88">
        <f>SUM(F526:K526)</f>
        <v>313948.39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155891.32</v>
      </c>
      <c r="I528" s="18"/>
      <c r="J528" s="18"/>
      <c r="K528" s="18"/>
      <c r="L528" s="88">
        <f>SUM(F528:K528)</f>
        <v>155891.32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469839.71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469839.71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12374.63</v>
      </c>
      <c r="G531" s="18">
        <v>6641.98</v>
      </c>
      <c r="H531" s="18"/>
      <c r="I531" s="18"/>
      <c r="J531" s="18"/>
      <c r="K531" s="18"/>
      <c r="L531" s="88">
        <f>SUM(F531:K531)</f>
        <v>19016.61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3093.66</v>
      </c>
      <c r="G533" s="18">
        <v>1660.49</v>
      </c>
      <c r="H533" s="18"/>
      <c r="I533" s="18"/>
      <c r="J533" s="18"/>
      <c r="K533" s="18"/>
      <c r="L533" s="88">
        <f>SUM(F533:K533)</f>
        <v>4754.1499999999996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15468.289999999999</v>
      </c>
      <c r="G534" s="89">
        <f t="shared" ref="G534:L534" si="38">SUM(G531:G533)</f>
        <v>8302.4699999999993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23770.760000000002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67778.7</v>
      </c>
      <c r="I541" s="18"/>
      <c r="J541" s="18"/>
      <c r="K541" s="18"/>
      <c r="L541" s="88">
        <f>SUM(F541:K541)</f>
        <v>67778.7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54509.45</v>
      </c>
      <c r="I543" s="18"/>
      <c r="J543" s="18"/>
      <c r="K543" s="18"/>
      <c r="L543" s="88">
        <f>SUM(F543:K543)</f>
        <v>54509.45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122288.15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122288.15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574952.02</v>
      </c>
      <c r="G545" s="89">
        <f t="shared" ref="G545:L545" si="41">G524+G529+G534+G539+G544</f>
        <v>346702.56</v>
      </c>
      <c r="H545" s="89">
        <f t="shared" si="41"/>
        <v>1266507.3499999999</v>
      </c>
      <c r="I545" s="89">
        <f t="shared" si="41"/>
        <v>5854.61</v>
      </c>
      <c r="J545" s="89">
        <f t="shared" si="41"/>
        <v>7410</v>
      </c>
      <c r="K545" s="89">
        <f t="shared" si="41"/>
        <v>0</v>
      </c>
      <c r="L545" s="89">
        <f t="shared" si="41"/>
        <v>2201426.54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1248516.9400000002</v>
      </c>
      <c r="G549" s="87">
        <f>L526</f>
        <v>313948.39</v>
      </c>
      <c r="H549" s="87">
        <f>L531</f>
        <v>19016.61</v>
      </c>
      <c r="I549" s="87">
        <f>L536</f>
        <v>0</v>
      </c>
      <c r="J549" s="87">
        <f>L541</f>
        <v>67778.7</v>
      </c>
      <c r="K549" s="87">
        <f>SUM(F549:J549)</f>
        <v>1649260.6400000001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337010.98</v>
      </c>
      <c r="G551" s="87">
        <f>L528</f>
        <v>155891.32</v>
      </c>
      <c r="H551" s="87">
        <f>L533</f>
        <v>4754.1499999999996</v>
      </c>
      <c r="I551" s="87">
        <f>L538</f>
        <v>0</v>
      </c>
      <c r="J551" s="87">
        <f>L543</f>
        <v>54509.45</v>
      </c>
      <c r="K551" s="87">
        <f>SUM(F551:J551)</f>
        <v>552165.9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1585527.9200000002</v>
      </c>
      <c r="G552" s="89">
        <f t="shared" si="42"/>
        <v>469839.71</v>
      </c>
      <c r="H552" s="89">
        <f t="shared" si="42"/>
        <v>23770.760000000002</v>
      </c>
      <c r="I552" s="89">
        <f t="shared" si="42"/>
        <v>0</v>
      </c>
      <c r="J552" s="89">
        <f t="shared" si="42"/>
        <v>122288.15</v>
      </c>
      <c r="K552" s="89">
        <f t="shared" si="42"/>
        <v>2201426.54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3796.2</v>
      </c>
      <c r="G562" s="18">
        <v>338.23</v>
      </c>
      <c r="H562" s="18"/>
      <c r="I562" s="18"/>
      <c r="J562" s="18"/>
      <c r="K562" s="18"/>
      <c r="L562" s="88">
        <f>SUM(F562:K562)</f>
        <v>4134.43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3796.2</v>
      </c>
      <c r="G565" s="89">
        <f t="shared" si="44"/>
        <v>338.23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4134.43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3796.2</v>
      </c>
      <c r="G571" s="89">
        <f t="shared" ref="G571:L571" si="46">G560+G565+G570</f>
        <v>338.23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4134.43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2186679.7799999998</v>
      </c>
      <c r="I575" s="87">
        <f>SUM(F575:H575)</f>
        <v>2186679.7799999998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169501.48</v>
      </c>
      <c r="G579" s="18"/>
      <c r="H579" s="18">
        <v>48236.2</v>
      </c>
      <c r="I579" s="87">
        <f t="shared" si="47"/>
        <v>217737.68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60429.88</v>
      </c>
      <c r="G580" s="18"/>
      <c r="H580" s="18"/>
      <c r="I580" s="87">
        <f t="shared" si="47"/>
        <v>60429.88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18408</v>
      </c>
      <c r="I581" s="87">
        <f t="shared" si="47"/>
        <v>18408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103514.59</v>
      </c>
      <c r="G583" s="18"/>
      <c r="H583" s="18">
        <v>268886.38</v>
      </c>
      <c r="I583" s="87">
        <f t="shared" si="47"/>
        <v>372400.97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322226.01</v>
      </c>
      <c r="I591" s="18"/>
      <c r="J591" s="18"/>
      <c r="K591" s="104">
        <f t="shared" ref="K591:K597" si="48">SUM(H591:J591)</f>
        <v>322226.01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67778.7</v>
      </c>
      <c r="I592" s="18"/>
      <c r="J592" s="18">
        <v>54509.45</v>
      </c>
      <c r="K592" s="104">
        <f t="shared" si="48"/>
        <v>122288.15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2774.31</v>
      </c>
      <c r="I594" s="18"/>
      <c r="J594" s="18"/>
      <c r="K594" s="104">
        <f t="shared" si="48"/>
        <v>2774.31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392779.02</v>
      </c>
      <c r="I598" s="108">
        <f>SUM(I591:I597)</f>
        <v>0</v>
      </c>
      <c r="J598" s="108">
        <f>SUM(J591:J597)</f>
        <v>54509.45</v>
      </c>
      <c r="K598" s="108">
        <f>SUM(K591:K597)</f>
        <v>447288.47000000003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47925.02</v>
      </c>
      <c r="I604" s="18"/>
      <c r="J604" s="18"/>
      <c r="K604" s="104">
        <f>SUM(H604:J604)</f>
        <v>47925.02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47925.02</v>
      </c>
      <c r="I605" s="108">
        <f>SUM(I602:I604)</f>
        <v>0</v>
      </c>
      <c r="J605" s="108">
        <f>SUM(J602:J604)</f>
        <v>0</v>
      </c>
      <c r="K605" s="108">
        <f>SUM(K602:K604)</f>
        <v>47925.02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618064.9</v>
      </c>
      <c r="H617" s="109">
        <f>SUM(F52)</f>
        <v>618064.89999999991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14073.59</v>
      </c>
      <c r="H618" s="109">
        <f>SUM(G52)</f>
        <v>14073.59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33439.56</v>
      </c>
      <c r="H619" s="109">
        <f>SUM(H52)</f>
        <v>33439.56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246196.1</v>
      </c>
      <c r="H621" s="109">
        <f>SUM(J52)</f>
        <v>246196.1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4807.83</v>
      </c>
      <c r="H622" s="109">
        <f>F476</f>
        <v>4807.8300000000745</v>
      </c>
      <c r="I622" s="121" t="s">
        <v>101</v>
      </c>
      <c r="J622" s="109">
        <f t="shared" ref="J622:J655" si="50">G622-H622</f>
        <v>-7.4578565545380116E-11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10000</v>
      </c>
      <c r="H623" s="109">
        <f>G476</f>
        <v>10000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246196.1</v>
      </c>
      <c r="H626" s="109">
        <f>J476</f>
        <v>246196.1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9450486.8499999978</v>
      </c>
      <c r="H627" s="104">
        <f>SUM(F468)</f>
        <v>9450486.8499999996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187210.11</v>
      </c>
      <c r="H628" s="104">
        <f>SUM(G468)</f>
        <v>187210.11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91928.48000000001</v>
      </c>
      <c r="H629" s="104">
        <f>SUM(H468)</f>
        <v>91928.48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40000</v>
      </c>
      <c r="H631" s="104">
        <f>SUM(J468)</f>
        <v>40000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9569243.4299999997</v>
      </c>
      <c r="H632" s="104">
        <f>SUM(F472)</f>
        <v>9569243.4299999997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91928.48</v>
      </c>
      <c r="H633" s="104">
        <f>SUM(H472)</f>
        <v>91928.48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66117.279999999999</v>
      </c>
      <c r="H634" s="104">
        <f>I369</f>
        <v>66117.279999999999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187902.30000000002</v>
      </c>
      <c r="H635" s="104">
        <f>SUM(G472)</f>
        <v>187902.3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40000</v>
      </c>
      <c r="H637" s="164">
        <f>SUM(J468)</f>
        <v>40000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692.03</v>
      </c>
      <c r="H638" s="164">
        <f>SUM(J472)</f>
        <v>692.03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181073.26</v>
      </c>
      <c r="H639" s="104">
        <f>SUM(F461)</f>
        <v>181073.26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65122.84</v>
      </c>
      <c r="H640" s="104">
        <f>SUM(G461)</f>
        <v>65122.84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246196.1</v>
      </c>
      <c r="H642" s="104">
        <f>SUM(I461)</f>
        <v>246196.1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40000</v>
      </c>
      <c r="H645" s="104">
        <f>G408</f>
        <v>40000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40000</v>
      </c>
      <c r="H646" s="104">
        <f>L408</f>
        <v>40000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447288.47000000003</v>
      </c>
      <c r="H647" s="104">
        <f>L208+L226+L244</f>
        <v>447288.47000000003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47925.02</v>
      </c>
      <c r="H648" s="104">
        <f>(J257+J338)-(J255+J336)</f>
        <v>47925.020000000004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392779.02</v>
      </c>
      <c r="H649" s="104">
        <f>H598</f>
        <v>392779.02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54509.45</v>
      </c>
      <c r="H651" s="104">
        <f>J598</f>
        <v>54509.45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17950.16</v>
      </c>
      <c r="H652" s="104">
        <f>K263+K345</f>
        <v>17950.16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40000</v>
      </c>
      <c r="H655" s="104">
        <f>K266+K347</f>
        <v>40000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7006687.2999999998</v>
      </c>
      <c r="G660" s="19">
        <f>(L229+L309+L359)</f>
        <v>0</v>
      </c>
      <c r="H660" s="19">
        <f>(L247+L328+L360)</f>
        <v>2734091.5</v>
      </c>
      <c r="I660" s="19">
        <f>SUM(F660:H660)</f>
        <v>9740778.8000000007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98281.65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98281.65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393557.86000000004</v>
      </c>
      <c r="G662" s="19">
        <f>(L226+L306)-(J226+J306)</f>
        <v>0</v>
      </c>
      <c r="H662" s="19">
        <f>(L244+L325)-(J244+J325)</f>
        <v>54509.45</v>
      </c>
      <c r="I662" s="19">
        <f>SUM(F662:H662)</f>
        <v>448067.31000000006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381370.97000000003</v>
      </c>
      <c r="G663" s="199">
        <f>SUM(G575:G587)+SUM(I602:I604)+L612</f>
        <v>0</v>
      </c>
      <c r="H663" s="199">
        <f>SUM(H575:H587)+SUM(J602:J604)+L613</f>
        <v>2522210.36</v>
      </c>
      <c r="I663" s="19">
        <f>SUM(F663:H663)</f>
        <v>2903581.33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6133476.8200000003</v>
      </c>
      <c r="G664" s="19">
        <f>G660-SUM(G661:G663)</f>
        <v>0</v>
      </c>
      <c r="H664" s="19">
        <f>H660-SUM(H661:H663)</f>
        <v>157371.68999999994</v>
      </c>
      <c r="I664" s="19">
        <f>I660-SUM(I661:I663)</f>
        <v>6290848.5100000007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412.74</v>
      </c>
      <c r="G665" s="248"/>
      <c r="H665" s="248"/>
      <c r="I665" s="19">
        <f>SUM(F665:H665)</f>
        <v>412.74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14860.39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15241.67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-157371.69</v>
      </c>
      <c r="I669" s="19">
        <f>SUM(F669:H669)</f>
        <v>-157371.69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14860.39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14860.39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D19" sqref="D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Epsom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1930653.16</v>
      </c>
      <c r="C9" s="229">
        <f>'DOE25'!G197+'DOE25'!G215+'DOE25'!G233+'DOE25'!G276+'DOE25'!G295+'DOE25'!G314</f>
        <v>1135672.47</v>
      </c>
    </row>
    <row r="10" spans="1:3" x14ac:dyDescent="0.2">
      <c r="A10" t="s">
        <v>779</v>
      </c>
      <c r="B10" s="240">
        <v>1835073.09</v>
      </c>
      <c r="C10" s="240">
        <v>1079449.19</v>
      </c>
    </row>
    <row r="11" spans="1:3" x14ac:dyDescent="0.2">
      <c r="A11" t="s">
        <v>780</v>
      </c>
      <c r="B11" s="240">
        <v>70708.87</v>
      </c>
      <c r="C11" s="240">
        <v>41593.24</v>
      </c>
    </row>
    <row r="12" spans="1:3" x14ac:dyDescent="0.2">
      <c r="A12" t="s">
        <v>781</v>
      </c>
      <c r="B12" s="240">
        <v>24871.200000000001</v>
      </c>
      <c r="C12" s="240">
        <v>14630.04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1930653.16</v>
      </c>
      <c r="C13" s="231">
        <f>SUM(C10:C12)</f>
        <v>1135672.47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559483.73</v>
      </c>
      <c r="C18" s="229">
        <f>'DOE25'!G198+'DOE25'!G216+'DOE25'!G234+'DOE25'!G277+'DOE25'!G296+'DOE25'!G315</f>
        <v>338400.09</v>
      </c>
    </row>
    <row r="19" spans="1:3" x14ac:dyDescent="0.2">
      <c r="A19" t="s">
        <v>779</v>
      </c>
      <c r="B19" s="240">
        <v>163361.94</v>
      </c>
      <c r="C19" s="240">
        <v>98808.41</v>
      </c>
    </row>
    <row r="20" spans="1:3" x14ac:dyDescent="0.2">
      <c r="A20" t="s">
        <v>780</v>
      </c>
      <c r="B20" s="240">
        <v>325590.94</v>
      </c>
      <c r="C20" s="240">
        <v>196931.56</v>
      </c>
    </row>
    <row r="21" spans="1:3" x14ac:dyDescent="0.2">
      <c r="A21" t="s">
        <v>781</v>
      </c>
      <c r="B21" s="240">
        <v>70530.850000000006</v>
      </c>
      <c r="C21" s="240">
        <v>42660.12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559483.73</v>
      </c>
      <c r="C22" s="231">
        <f>SUM(C19:C21)</f>
        <v>338400.08999999997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31986</v>
      </c>
      <c r="C36" s="235">
        <f>'DOE25'!G200+'DOE25'!G218+'DOE25'!G236+'DOE25'!G279+'DOE25'!G298+'DOE25'!G317</f>
        <v>19288.990000000002</v>
      </c>
    </row>
    <row r="37" spans="1:3" x14ac:dyDescent="0.2">
      <c r="A37" t="s">
        <v>779</v>
      </c>
      <c r="B37" s="240">
        <v>31986</v>
      </c>
      <c r="C37" s="240">
        <v>19288.990000000002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31986</v>
      </c>
      <c r="C40" s="231">
        <f>SUM(C37:C39)</f>
        <v>19288.990000000002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Epsom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6934523.3099999987</v>
      </c>
      <c r="D5" s="20">
        <f>SUM('DOE25'!L197:L200)+SUM('DOE25'!L215:L218)+SUM('DOE25'!L233:L236)-F5-G5</f>
        <v>6892372.4899999984</v>
      </c>
      <c r="E5" s="243"/>
      <c r="F5" s="255">
        <f>SUM('DOE25'!J197:J200)+SUM('DOE25'!J215:J218)+SUM('DOE25'!J233:J236)</f>
        <v>41820.82</v>
      </c>
      <c r="G5" s="53">
        <f>SUM('DOE25'!K197:K200)+SUM('DOE25'!K215:K218)+SUM('DOE25'!K233:K236)</f>
        <v>330</v>
      </c>
      <c r="H5" s="259"/>
    </row>
    <row r="6" spans="1:9" x14ac:dyDescent="0.2">
      <c r="A6" s="32">
        <v>2100</v>
      </c>
      <c r="B6" t="s">
        <v>801</v>
      </c>
      <c r="C6" s="245">
        <f t="shared" si="0"/>
        <v>672680.82000000007</v>
      </c>
      <c r="D6" s="20">
        <f>'DOE25'!L202+'DOE25'!L220+'DOE25'!L238-F6-G6</f>
        <v>671361.57000000007</v>
      </c>
      <c r="E6" s="243"/>
      <c r="F6" s="255">
        <f>'DOE25'!J202+'DOE25'!J220+'DOE25'!J238</f>
        <v>0</v>
      </c>
      <c r="G6" s="53">
        <f>'DOE25'!K202+'DOE25'!K220+'DOE25'!K238</f>
        <v>1319.25</v>
      </c>
      <c r="H6" s="259"/>
    </row>
    <row r="7" spans="1:9" x14ac:dyDescent="0.2">
      <c r="A7" s="32">
        <v>2200</v>
      </c>
      <c r="B7" t="s">
        <v>834</v>
      </c>
      <c r="C7" s="245">
        <f t="shared" si="0"/>
        <v>90918.24</v>
      </c>
      <c r="D7" s="20">
        <f>'DOE25'!L203+'DOE25'!L221+'DOE25'!L239-F7-G7</f>
        <v>90722.67</v>
      </c>
      <c r="E7" s="243"/>
      <c r="F7" s="255">
        <f>'DOE25'!J203+'DOE25'!J221+'DOE25'!J239</f>
        <v>195.57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198213.63999999996</v>
      </c>
      <c r="D8" s="243"/>
      <c r="E8" s="20">
        <f>'DOE25'!L204+'DOE25'!L222+'DOE25'!L240-F8-G8-D9-D11</f>
        <v>194747.28999999995</v>
      </c>
      <c r="F8" s="255">
        <f>'DOE25'!J204+'DOE25'!J222+'DOE25'!J240</f>
        <v>0</v>
      </c>
      <c r="G8" s="53">
        <f>'DOE25'!K204+'DOE25'!K222+'DOE25'!K240</f>
        <v>3466.35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10571.76</v>
      </c>
      <c r="D9" s="244">
        <v>10571.76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6720</v>
      </c>
      <c r="D10" s="243"/>
      <c r="E10" s="244">
        <v>6720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71024.100000000006</v>
      </c>
      <c r="D11" s="244">
        <v>71024.100000000006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595718.77</v>
      </c>
      <c r="D12" s="20">
        <f>'DOE25'!L205+'DOE25'!L223+'DOE25'!L241-F12-G12</f>
        <v>593238.42000000004</v>
      </c>
      <c r="E12" s="243"/>
      <c r="F12" s="255">
        <f>'DOE25'!J205+'DOE25'!J223+'DOE25'!J241</f>
        <v>0</v>
      </c>
      <c r="G12" s="53">
        <f>'DOE25'!K205+'DOE25'!K223+'DOE25'!K241</f>
        <v>2480.35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440008.91</v>
      </c>
      <c r="D14" s="20">
        <f>'DOE25'!L207+'DOE25'!L225+'DOE25'!L243-F14-G14</f>
        <v>434162.25</v>
      </c>
      <c r="E14" s="243"/>
      <c r="F14" s="255">
        <f>'DOE25'!J207+'DOE25'!J225+'DOE25'!J243</f>
        <v>5846.66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447288.47000000003</v>
      </c>
      <c r="D15" s="20">
        <f>'DOE25'!L208+'DOE25'!L226+'DOE25'!L244-F15-G15</f>
        <v>447288.47000000003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17148.509999999998</v>
      </c>
      <c r="D22" s="243"/>
      <c r="E22" s="243"/>
      <c r="F22" s="255">
        <f>'DOE25'!L255+'DOE25'!L336</f>
        <v>17148.509999999998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128008.95000000001</v>
      </c>
      <c r="D29" s="20">
        <f>'DOE25'!L358+'DOE25'!L359+'DOE25'!L360-'DOE25'!I367-F29-G29</f>
        <v>126773.23000000001</v>
      </c>
      <c r="E29" s="243"/>
      <c r="F29" s="255">
        <f>'DOE25'!J358+'DOE25'!J359+'DOE25'!J360</f>
        <v>335.72</v>
      </c>
      <c r="G29" s="53">
        <f>'DOE25'!K358+'DOE25'!K359+'DOE25'!K360</f>
        <v>900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91928.48</v>
      </c>
      <c r="D31" s="20">
        <f>'DOE25'!L290+'DOE25'!L309+'DOE25'!L328+'DOE25'!L333+'DOE25'!L334+'DOE25'!L335-F31-G31</f>
        <v>89222.78</v>
      </c>
      <c r="E31" s="243"/>
      <c r="F31" s="255">
        <f>'DOE25'!J290+'DOE25'!J309+'DOE25'!J328+'DOE25'!J333+'DOE25'!J334+'DOE25'!J335</f>
        <v>61.97</v>
      </c>
      <c r="G31" s="53">
        <f>'DOE25'!K290+'DOE25'!K309+'DOE25'!K328+'DOE25'!K333+'DOE25'!K334+'DOE25'!K335</f>
        <v>2643.73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9426737.7399999984</v>
      </c>
      <c r="E33" s="246">
        <f>SUM(E5:E31)</f>
        <v>201467.28999999995</v>
      </c>
      <c r="F33" s="246">
        <f>SUM(F5:F31)</f>
        <v>65409.25</v>
      </c>
      <c r="G33" s="246">
        <f>SUM(G5:G31)</f>
        <v>11139.68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201467.28999999995</v>
      </c>
      <c r="E35" s="249"/>
    </row>
    <row r="36" spans="2:8" ht="12" thickTop="1" x14ac:dyDescent="0.2">
      <c r="B36" t="s">
        <v>815</v>
      </c>
      <c r="D36" s="20">
        <f>D33</f>
        <v>9426737.7399999984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Epsom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545589.85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246196.1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450.76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35309.26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36715.03</v>
      </c>
      <c r="D12" s="95">
        <f>'DOE25'!G13</f>
        <v>2558.9499999999998</v>
      </c>
      <c r="E12" s="95">
        <f>'DOE25'!H13</f>
        <v>33439.56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11514.64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618064.9</v>
      </c>
      <c r="D18" s="41">
        <f>SUM(D8:D17)</f>
        <v>14073.59</v>
      </c>
      <c r="E18" s="41">
        <f>SUM(E8:E17)</f>
        <v>33439.56</v>
      </c>
      <c r="F18" s="41">
        <f>SUM(F8:F17)</f>
        <v>0</v>
      </c>
      <c r="G18" s="41">
        <f>SUM(G8:G17)</f>
        <v>246196.1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2664.8</v>
      </c>
      <c r="E21" s="95">
        <f>'DOE25'!H22</f>
        <v>32644.46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291836.68</v>
      </c>
      <c r="D22" s="95">
        <f>'DOE25'!G23</f>
        <v>1408.79</v>
      </c>
      <c r="E22" s="95">
        <f>'DOE25'!H23</f>
        <v>795.1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3613.3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318470.43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-663.34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613257.06999999995</v>
      </c>
      <c r="D31" s="41">
        <f>SUM(D21:D30)</f>
        <v>4073.59</v>
      </c>
      <c r="E31" s="41">
        <f>SUM(E21:E30)</f>
        <v>33439.56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10000</v>
      </c>
      <c r="E47" s="95">
        <f>'DOE25'!H48</f>
        <v>0</v>
      </c>
      <c r="F47" s="95">
        <f>'DOE25'!I48</f>
        <v>0</v>
      </c>
      <c r="G47" s="95">
        <f>'DOE25'!J48</f>
        <v>246196.1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4807.83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4807.83</v>
      </c>
      <c r="D50" s="41">
        <f>SUM(D34:D49)</f>
        <v>10000</v>
      </c>
      <c r="E50" s="41">
        <f>SUM(E34:E49)</f>
        <v>0</v>
      </c>
      <c r="F50" s="41">
        <f>SUM(F34:F49)</f>
        <v>0</v>
      </c>
      <c r="G50" s="41">
        <f>SUM(G34:G49)</f>
        <v>246196.1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618064.89999999991</v>
      </c>
      <c r="D51" s="41">
        <f>D50+D31</f>
        <v>14073.59</v>
      </c>
      <c r="E51" s="41">
        <f>E50+E31</f>
        <v>33439.56</v>
      </c>
      <c r="F51" s="41">
        <f>F50+F31</f>
        <v>0</v>
      </c>
      <c r="G51" s="41">
        <f>G50+G31</f>
        <v>246196.1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5858447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1078.58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98281.65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7295.77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9374.35</v>
      </c>
      <c r="D62" s="130">
        <f>SUM(D57:D61)</f>
        <v>98281.65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5867821.3499999996</v>
      </c>
      <c r="D63" s="22">
        <f>D56+D62</f>
        <v>98281.65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2561276.89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914393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2446.5700000000002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3478116.46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33967.339999999997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2467.79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33967.339999999997</v>
      </c>
      <c r="D78" s="130">
        <f>SUM(D72:D77)</f>
        <v>2467.79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3512083.8</v>
      </c>
      <c r="D81" s="130">
        <f>SUM(D79:D80)+D78+D70</f>
        <v>2467.79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69889.67</v>
      </c>
      <c r="D88" s="95">
        <f>SUM('DOE25'!G153:G161)</f>
        <v>68510.509999999995</v>
      </c>
      <c r="E88" s="95">
        <f>SUM('DOE25'!H153:H161)</f>
        <v>91928.48000000001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69889.67</v>
      </c>
      <c r="D91" s="131">
        <f>SUM(D85:D90)</f>
        <v>68510.509999999995</v>
      </c>
      <c r="E91" s="131">
        <f>SUM(E85:E90)</f>
        <v>91928.48000000001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17950.16</v>
      </c>
      <c r="E96" s="95">
        <f>'DOE25'!H179</f>
        <v>0</v>
      </c>
      <c r="F96" s="95">
        <f>'DOE25'!I179</f>
        <v>0</v>
      </c>
      <c r="G96" s="95">
        <f>'DOE25'!J179</f>
        <v>40000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692.03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692.03</v>
      </c>
      <c r="D103" s="86">
        <f>SUM(D93:D102)</f>
        <v>17950.16</v>
      </c>
      <c r="E103" s="86">
        <f>SUM(E93:E102)</f>
        <v>0</v>
      </c>
      <c r="F103" s="86">
        <f>SUM(F93:F102)</f>
        <v>0</v>
      </c>
      <c r="G103" s="86">
        <f>SUM(G93:G102)</f>
        <v>40000</v>
      </c>
    </row>
    <row r="104" spans="1:7" ht="12.75" thickTop="1" thickBot="1" x14ac:dyDescent="0.25">
      <c r="A104" s="33" t="s">
        <v>765</v>
      </c>
      <c r="C104" s="86">
        <f>C63+C81+C91+C103</f>
        <v>9450486.8499999978</v>
      </c>
      <c r="D104" s="86">
        <f>D63+D81+D91+D103</f>
        <v>187210.11</v>
      </c>
      <c r="E104" s="86">
        <f>E63+E81+E91+E103</f>
        <v>91928.48000000001</v>
      </c>
      <c r="F104" s="86">
        <f>F63+F81+F91+F103</f>
        <v>0</v>
      </c>
      <c r="G104" s="86">
        <f>G63+G81+G103</f>
        <v>40000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5290956.8499999996</v>
      </c>
      <c r="D109" s="24" t="s">
        <v>289</v>
      </c>
      <c r="E109" s="95">
        <f>('DOE25'!L276)+('DOE25'!L295)+('DOE25'!L314)</f>
        <v>77748.19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1585527.9200000002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58038.540000000008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6934523.3099999996</v>
      </c>
      <c r="D115" s="86">
        <f>SUM(D109:D114)</f>
        <v>0</v>
      </c>
      <c r="E115" s="86">
        <f>SUM(E109:E114)</f>
        <v>77748.19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672680.82000000007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90918.24</v>
      </c>
      <c r="D119" s="24" t="s">
        <v>289</v>
      </c>
      <c r="E119" s="95">
        <f>+('DOE25'!L282)+('DOE25'!L301)+('DOE25'!L320)</f>
        <v>10507.72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279809.49999999994</v>
      </c>
      <c r="D120" s="24" t="s">
        <v>289</v>
      </c>
      <c r="E120" s="95">
        <f>+('DOE25'!L283)+('DOE25'!L302)+('DOE25'!L321)</f>
        <v>2643.73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595718.77</v>
      </c>
      <c r="D121" s="24" t="s">
        <v>289</v>
      </c>
      <c r="E121" s="95">
        <f>+('DOE25'!L284)+('DOE25'!L303)+('DOE25'!L322)</f>
        <v>250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440008.91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447288.47000000003</v>
      </c>
      <c r="D124" s="24" t="s">
        <v>289</v>
      </c>
      <c r="E124" s="95">
        <f>+('DOE25'!L287)+('DOE25'!L306)+('DOE25'!L325)</f>
        <v>778.84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187902.30000000002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2526424.71</v>
      </c>
      <c r="D128" s="86">
        <f>SUM(D118:D127)</f>
        <v>187902.30000000002</v>
      </c>
      <c r="E128" s="86">
        <f>SUM(E118:E127)</f>
        <v>14180.289999999999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17148.509999999998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692.03</v>
      </c>
    </row>
    <row r="135" spans="1:7" x14ac:dyDescent="0.2">
      <c r="A135" t="s">
        <v>233</v>
      </c>
      <c r="B135" s="32" t="s">
        <v>234</v>
      </c>
      <c r="C135" s="95">
        <f>'DOE25'!L263</f>
        <v>17950.16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33196.74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108295.41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692.03</v>
      </c>
    </row>
    <row r="145" spans="1:9" ht="12.75" thickTop="1" thickBot="1" x14ac:dyDescent="0.25">
      <c r="A145" s="33" t="s">
        <v>244</v>
      </c>
      <c r="C145" s="86">
        <f>(C115+C128+C144)</f>
        <v>9569243.4299999997</v>
      </c>
      <c r="D145" s="86">
        <f>(D115+D128+D144)</f>
        <v>187902.30000000002</v>
      </c>
      <c r="E145" s="86">
        <f>(E115+E128+E144)</f>
        <v>91928.48</v>
      </c>
      <c r="F145" s="86">
        <f>(F115+F128+F144)</f>
        <v>0</v>
      </c>
      <c r="G145" s="86">
        <f>(G115+G128+G144)</f>
        <v>692.03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Epsom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14860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14860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5368705</v>
      </c>
      <c r="D10" s="182">
        <f>ROUND((C10/$C$28)*100,1)</f>
        <v>55.5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1585528</v>
      </c>
      <c r="D11" s="182">
        <f>ROUND((C11/$C$28)*100,1)</f>
        <v>16.399999999999999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58039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672681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101426</v>
      </c>
      <c r="D16" s="182">
        <f t="shared" si="0"/>
        <v>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282453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595969</v>
      </c>
      <c r="D18" s="182">
        <f t="shared" si="0"/>
        <v>6.2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440009</v>
      </c>
      <c r="D20" s="182">
        <f t="shared" si="0"/>
        <v>4.5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448067</v>
      </c>
      <c r="D21" s="182">
        <f t="shared" si="0"/>
        <v>4.5999999999999996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33196.74</v>
      </c>
      <c r="D26" s="182">
        <f t="shared" si="0"/>
        <v>0.3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89620.35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9675694.0899999999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17149</v>
      </c>
    </row>
    <row r="30" spans="1:4" x14ac:dyDescent="0.2">
      <c r="B30" s="187" t="s">
        <v>729</v>
      </c>
      <c r="C30" s="180">
        <f>SUM(C28:C29)</f>
        <v>9692843.0899999999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5858447</v>
      </c>
      <c r="D35" s="182">
        <f t="shared" ref="D35:D40" si="1">ROUND((C35/$C$41)*100,1)</f>
        <v>60.9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9374.3499999996275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3475670</v>
      </c>
      <c r="D37" s="182">
        <f t="shared" si="1"/>
        <v>36.200000000000003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38882</v>
      </c>
      <c r="D38" s="182">
        <f t="shared" si="1"/>
        <v>0.4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230329</v>
      </c>
      <c r="D39" s="182">
        <f t="shared" si="1"/>
        <v>2.4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9612702.3499999996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Epsom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2016-10-24T16:55:31Z</cp:lastPrinted>
  <dcterms:created xsi:type="dcterms:W3CDTF">1997-12-04T19:04:30Z</dcterms:created>
  <dcterms:modified xsi:type="dcterms:W3CDTF">2016-10-24T16:58:48Z</dcterms:modified>
</cp:coreProperties>
</file>