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12705" yWindow="-15" windowWidth="12510" windowHeight="120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I507" i="1" l="1"/>
  <c r="F29" i="1" l="1"/>
  <c r="C45" i="2" l="1"/>
  <c r="G51" i="1"/>
  <c r="F51" i="1"/>
  <c r="C37" i="10" l="1"/>
  <c r="F40" i="2" l="1"/>
  <c r="D39" i="2"/>
  <c r="G655" i="1"/>
  <c r="J655" i="1" s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7" i="10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D5" i="13" s="1"/>
  <c r="C5" i="13" s="1"/>
  <c r="L197" i="1"/>
  <c r="L198" i="1"/>
  <c r="C11" i="10" s="1"/>
  <c r="L199" i="1"/>
  <c r="L200" i="1"/>
  <c r="L215" i="1"/>
  <c r="L216" i="1"/>
  <c r="L217" i="1"/>
  <c r="L218" i="1"/>
  <c r="L233" i="1"/>
  <c r="L234" i="1"/>
  <c r="L235" i="1"/>
  <c r="L236" i="1"/>
  <c r="F6" i="13"/>
  <c r="G6" i="13"/>
  <c r="D6" i="13" s="1"/>
  <c r="C6" i="13" s="1"/>
  <c r="L202" i="1"/>
  <c r="L220" i="1"/>
  <c r="L238" i="1"/>
  <c r="C118" i="2" s="1"/>
  <c r="F7" i="13"/>
  <c r="G7" i="13"/>
  <c r="L203" i="1"/>
  <c r="C119" i="2" s="1"/>
  <c r="L221" i="1"/>
  <c r="L239" i="1"/>
  <c r="F12" i="13"/>
  <c r="G12" i="13"/>
  <c r="L205" i="1"/>
  <c r="L223" i="1"/>
  <c r="L241" i="1"/>
  <c r="F14" i="13"/>
  <c r="G14" i="13"/>
  <c r="L207" i="1"/>
  <c r="C20" i="10" s="1"/>
  <c r="L225" i="1"/>
  <c r="L243" i="1"/>
  <c r="F15" i="13"/>
  <c r="G15" i="13"/>
  <c r="D15" i="13" s="1"/>
  <c r="C15" i="13" s="1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G661" i="1" s="1"/>
  <c r="L359" i="1"/>
  <c r="L360" i="1"/>
  <c r="I367" i="1"/>
  <c r="J290" i="1"/>
  <c r="J309" i="1"/>
  <c r="J328" i="1"/>
  <c r="K290" i="1"/>
  <c r="K309" i="1"/>
  <c r="K328" i="1"/>
  <c r="L276" i="1"/>
  <c r="L277" i="1"/>
  <c r="E110" i="2" s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3" i="1" s="1"/>
  <c r="C138" i="2" s="1"/>
  <c r="L392" i="1"/>
  <c r="L395" i="1"/>
  <c r="L396" i="1"/>
  <c r="L397" i="1"/>
  <c r="L398" i="1"/>
  <c r="L401" i="1" s="1"/>
  <c r="C139" i="2" s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2" i="10"/>
  <c r="C13" i="10"/>
  <c r="C15" i="10"/>
  <c r="C16" i="10"/>
  <c r="C18" i="10"/>
  <c r="C19" i="10"/>
  <c r="C21" i="10"/>
  <c r="L250" i="1"/>
  <c r="L332" i="1"/>
  <c r="L254" i="1"/>
  <c r="C25" i="10"/>
  <c r="L268" i="1"/>
  <c r="L269" i="1"/>
  <c r="L349" i="1"/>
  <c r="L350" i="1"/>
  <c r="E143" i="2" s="1"/>
  <c r="I665" i="1"/>
  <c r="I670" i="1"/>
  <c r="L229" i="1"/>
  <c r="L247" i="1"/>
  <c r="F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K549" i="1" s="1"/>
  <c r="L522" i="1"/>
  <c r="F550" i="1" s="1"/>
  <c r="L523" i="1"/>
  <c r="F551" i="1" s="1"/>
  <c r="L526" i="1"/>
  <c r="G549" i="1" s="1"/>
  <c r="L527" i="1"/>
  <c r="G550" i="1" s="1"/>
  <c r="L528" i="1"/>
  <c r="G551" i="1" s="1"/>
  <c r="K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C62" i="2" s="1"/>
  <c r="C63" i="2" s="1"/>
  <c r="D61" i="2"/>
  <c r="E61" i="2"/>
  <c r="F61" i="2"/>
  <c r="C66" i="2"/>
  <c r="C70" i="2" s="1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E115" i="2" s="1"/>
  <c r="C111" i="2"/>
  <c r="E111" i="2"/>
  <c r="C112" i="2"/>
  <c r="E112" i="2"/>
  <c r="C113" i="2"/>
  <c r="E113" i="2"/>
  <c r="C114" i="2"/>
  <c r="E114" i="2"/>
  <c r="D115" i="2"/>
  <c r="F115" i="2"/>
  <c r="G115" i="2"/>
  <c r="E118" i="2"/>
  <c r="E119" i="2"/>
  <c r="C120" i="2"/>
  <c r="E120" i="2"/>
  <c r="C121" i="2"/>
  <c r="E121" i="2"/>
  <c r="C122" i="2"/>
  <c r="E122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G257" i="1" s="1"/>
  <c r="G271" i="1" s="1"/>
  <c r="H211" i="1"/>
  <c r="I211" i="1"/>
  <c r="I257" i="1" s="1"/>
  <c r="I271" i="1" s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F338" i="1" s="1"/>
  <c r="F352" i="1" s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I452" i="1"/>
  <c r="F460" i="1"/>
  <c r="G460" i="1"/>
  <c r="H460" i="1"/>
  <c r="I460" i="1"/>
  <c r="I461" i="1" s="1"/>
  <c r="H642" i="1" s="1"/>
  <c r="F461" i="1"/>
  <c r="H639" i="1" s="1"/>
  <c r="G461" i="1"/>
  <c r="H461" i="1"/>
  <c r="F470" i="1"/>
  <c r="G470" i="1"/>
  <c r="H470" i="1"/>
  <c r="I470" i="1"/>
  <c r="J470" i="1"/>
  <c r="J476" i="1" s="1"/>
  <c r="H626" i="1" s="1"/>
  <c r="F474" i="1"/>
  <c r="F476" i="1" s="1"/>
  <c r="H622" i="1" s="1"/>
  <c r="G474" i="1"/>
  <c r="H474" i="1"/>
  <c r="H476" i="1" s="1"/>
  <c r="H624" i="1" s="1"/>
  <c r="J624" i="1" s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G545" i="1" s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H640" i="1"/>
  <c r="G641" i="1"/>
  <c r="H641" i="1"/>
  <c r="G643" i="1"/>
  <c r="H643" i="1"/>
  <c r="G644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F192" i="1"/>
  <c r="L256" i="1"/>
  <c r="K257" i="1"/>
  <c r="G164" i="2"/>
  <c r="C18" i="2"/>
  <c r="C26" i="10"/>
  <c r="L328" i="1"/>
  <c r="H660" i="1" s="1"/>
  <c r="I662" i="1"/>
  <c r="L290" i="1"/>
  <c r="A31" i="12"/>
  <c r="A40" i="12"/>
  <c r="D12" i="13"/>
  <c r="C12" i="13" s="1"/>
  <c r="D62" i="2"/>
  <c r="D63" i="2" s="1"/>
  <c r="D18" i="13"/>
  <c r="C18" i="13" s="1"/>
  <c r="D7" i="13"/>
  <c r="C7" i="13" s="1"/>
  <c r="D18" i="2"/>
  <c r="D17" i="13"/>
  <c r="C17" i="13" s="1"/>
  <c r="E8" i="13"/>
  <c r="C8" i="13" s="1"/>
  <c r="C91" i="2"/>
  <c r="F78" i="2"/>
  <c r="F81" i="2" s="1"/>
  <c r="D31" i="2"/>
  <c r="C78" i="2"/>
  <c r="D50" i="2"/>
  <c r="G157" i="2"/>
  <c r="F18" i="2"/>
  <c r="G161" i="2"/>
  <c r="G156" i="2"/>
  <c r="E103" i="2"/>
  <c r="E62" i="2"/>
  <c r="E63" i="2" s="1"/>
  <c r="E31" i="2"/>
  <c r="G62" i="2"/>
  <c r="D19" i="13"/>
  <c r="C19" i="13" s="1"/>
  <c r="D14" i="13"/>
  <c r="C14" i="13" s="1"/>
  <c r="E13" i="13"/>
  <c r="C13" i="13" s="1"/>
  <c r="E78" i="2"/>
  <c r="E81" i="2" s="1"/>
  <c r="L427" i="1"/>
  <c r="J257" i="1"/>
  <c r="J271" i="1" s="1"/>
  <c r="H112" i="1"/>
  <c r="F112" i="1"/>
  <c r="J641" i="1"/>
  <c r="K605" i="1"/>
  <c r="G648" i="1" s="1"/>
  <c r="J571" i="1"/>
  <c r="K571" i="1"/>
  <c r="L433" i="1"/>
  <c r="L419" i="1"/>
  <c r="I169" i="1"/>
  <c r="H169" i="1"/>
  <c r="G552" i="1"/>
  <c r="J643" i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H257" i="1"/>
  <c r="H271" i="1" s="1"/>
  <c r="I552" i="1"/>
  <c r="K550" i="1"/>
  <c r="G22" i="2"/>
  <c r="K598" i="1"/>
  <c r="G647" i="1" s="1"/>
  <c r="J647" i="1" s="1"/>
  <c r="K545" i="1"/>
  <c r="J552" i="1"/>
  <c r="H552" i="1"/>
  <c r="C29" i="10"/>
  <c r="H140" i="1"/>
  <c r="A13" i="12"/>
  <c r="F22" i="13"/>
  <c r="H25" i="13"/>
  <c r="C25" i="13" s="1"/>
  <c r="J651" i="1"/>
  <c r="H571" i="1"/>
  <c r="L560" i="1"/>
  <c r="J545" i="1"/>
  <c r="H338" i="1"/>
  <c r="H352" i="1" s="1"/>
  <c r="H192" i="1"/>
  <c r="E128" i="2"/>
  <c r="C35" i="10"/>
  <c r="L309" i="1"/>
  <c r="E16" i="13"/>
  <c r="L570" i="1"/>
  <c r="I571" i="1"/>
  <c r="I545" i="1"/>
  <c r="J636" i="1"/>
  <c r="G36" i="2"/>
  <c r="L565" i="1"/>
  <c r="H545" i="1"/>
  <c r="C22" i="13"/>
  <c r="C16" i="13"/>
  <c r="H33" i="13"/>
  <c r="K271" i="1" l="1"/>
  <c r="G645" i="1"/>
  <c r="J640" i="1"/>
  <c r="J639" i="1"/>
  <c r="I446" i="1"/>
  <c r="G642" i="1" s="1"/>
  <c r="H408" i="1"/>
  <c r="H644" i="1" s="1"/>
  <c r="J644" i="1" s="1"/>
  <c r="G408" i="1"/>
  <c r="H645" i="1" s="1"/>
  <c r="J645" i="1" s="1"/>
  <c r="L534" i="1"/>
  <c r="L529" i="1"/>
  <c r="F552" i="1"/>
  <c r="K552" i="1"/>
  <c r="L524" i="1"/>
  <c r="D29" i="13"/>
  <c r="C29" i="13" s="1"/>
  <c r="J634" i="1"/>
  <c r="H661" i="1"/>
  <c r="L362" i="1"/>
  <c r="G635" i="1" s="1"/>
  <c r="J635" i="1" s="1"/>
  <c r="H664" i="1"/>
  <c r="H667" i="1" s="1"/>
  <c r="D145" i="2"/>
  <c r="L351" i="1"/>
  <c r="K338" i="1"/>
  <c r="K352" i="1" s="1"/>
  <c r="J622" i="1"/>
  <c r="C123" i="2"/>
  <c r="C128" i="2" s="1"/>
  <c r="E33" i="13"/>
  <c r="D35" i="13" s="1"/>
  <c r="C110" i="2"/>
  <c r="C115" i="2" s="1"/>
  <c r="L211" i="1"/>
  <c r="L257" i="1" s="1"/>
  <c r="L271" i="1" s="1"/>
  <c r="G632" i="1" s="1"/>
  <c r="J632" i="1" s="1"/>
  <c r="F660" i="1"/>
  <c r="F664" i="1" s="1"/>
  <c r="I661" i="1"/>
  <c r="C81" i="2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C104" i="2"/>
  <c r="J652" i="1"/>
  <c r="J642" i="1"/>
  <c r="G571" i="1"/>
  <c r="I434" i="1"/>
  <c r="G434" i="1"/>
  <c r="I663" i="1"/>
  <c r="H646" i="1" l="1"/>
  <c r="J646" i="1" s="1"/>
  <c r="L545" i="1"/>
  <c r="C27" i="10"/>
  <c r="C28" i="10" s="1"/>
  <c r="D24" i="10" s="1"/>
  <c r="G672" i="1"/>
  <c r="C5" i="10" s="1"/>
  <c r="H672" i="1"/>
  <c r="C6" i="10" s="1"/>
  <c r="L352" i="1"/>
  <c r="G633" i="1" s="1"/>
  <c r="J633" i="1" s="1"/>
  <c r="C145" i="2"/>
  <c r="F672" i="1"/>
  <c r="C4" i="10" s="1"/>
  <c r="F667" i="1"/>
  <c r="I660" i="1"/>
  <c r="I664" i="1" s="1"/>
  <c r="I672" i="1" s="1"/>
  <c r="C7" i="10" s="1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D26" i="10" l="1"/>
  <c r="D11" i="10"/>
  <c r="C30" i="10"/>
  <c r="D10" i="10"/>
  <c r="D16" i="10"/>
  <c r="D23" i="10"/>
  <c r="D13" i="10"/>
  <c r="D21" i="10"/>
  <c r="D22" i="10"/>
  <c r="D20" i="10"/>
  <c r="D15" i="10"/>
  <c r="D25" i="10"/>
  <c r="D19" i="10"/>
  <c r="D27" i="10"/>
  <c r="D18" i="10"/>
  <c r="D17" i="10"/>
  <c r="D12" i="10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<sst xmlns="http://schemas.openxmlformats.org/spreadsheetml/2006/main" count="3955" uniqueCount="913">
  <si>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</si>
  <si>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</si>
  <si>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</si>
  <si>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</si>
  <si>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</si>
  <si>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</si>
  <si>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</si>
  <si>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</si>
  <si>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</si>
  <si>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</si>
  <si>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</si>
  <si>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</si>
  <si>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</si>
  <si>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</si>
  <si>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</si>
  <si>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</si>
  <si>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</si>
  <si>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</si>
  <si>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</si>
  <si>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</si>
  <si>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</si>
  <si>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</si>
  <si>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</si>
  <si>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</si>
  <si>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</si>
  <si>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</si>
  <si>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</si>
  <si>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</si>
  <si>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</si>
  <si>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</si>
  <si>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</si>
  <si>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</si>
  <si>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</si>
  <si>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</si>
  <si>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</si>
  <si>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</si>
  <si>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</si>
  <si>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</si>
  <si>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</si>
  <si>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</si>
  <si>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</si>
  <si>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</si>
  <si>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</si>
  <si>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</si>
  <si>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</si>
  <si>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</si>
  <si>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</si>
  <si>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</si>
  <si>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</si>
  <si>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</si>
  <si>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</si>
  <si>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</si>
  <si>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</si>
  <si>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</si>
  <si>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</si>
  <si>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</si>
  <si>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</si>
  <si>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</si>
  <si>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</si>
  <si>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</si>
  <si>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</si>
  <si>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</si>
  <si>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</si>
  <si>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</si>
  <si>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</si>
  <si>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</si>
  <si>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</si>
  <si>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</si>
  <si>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</si>
  <si>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</si>
  <si>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</si>
  <si>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</si>
  <si>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</si>
  <si>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</si>
  <si>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</si>
  <si>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</si>
  <si>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</si>
  <si>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</si>
  <si>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</si>
  <si>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</si>
  <si>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</si>
  <si>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</si>
  <si>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</si>
  <si>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</si>
  <si>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</si>
  <si>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</si>
  <si>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</si>
  <si>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</si>
  <si>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</si>
  <si>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</si>
  <si>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</si>
  <si>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</si>
  <si>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</si>
  <si>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</si>
  <si>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</si>
  <si>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</si>
  <si>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</si>
  <si>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</si>
  <si>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</si>
  <si>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</si>
  <si>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</si>
  <si>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</si>
  <si>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</si>
  <si>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</si>
  <si>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</si>
  <si>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</si>
  <si>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</si>
  <si>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</si>
  <si>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</si>
  <si>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</si>
  <si>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</si>
  <si>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</si>
  <si>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</si>
  <si>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</si>
  <si>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</si>
  <si>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</si>
  <si>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</si>
  <si>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</si>
  <si>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</si>
  <si>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</si>
  <si>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</si>
  <si>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</si>
  <si>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</si>
  <si>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</si>
  <si>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</si>
  <si>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</si>
  <si>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</si>
  <si>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</si>
  <si>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</si>
  <si>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</si>
  <si>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</si>
  <si>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</si>
  <si>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</si>
  <si>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</si>
  <si>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</si>
  <si>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</si>
  <si>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</si>
  <si>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</si>
  <si>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</si>
  <si>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</si>
  <si>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</si>
  <si>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</si>
  <si>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</si>
  <si>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</si>
  <si>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</si>
  <si>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</si>
  <si>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</si>
  <si>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</si>
  <si>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</si>
  <si>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</si>
  <si>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</si>
  <si>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</si>
  <si>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</si>
  <si>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</si>
  <si>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</si>
  <si>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</si>
  <si>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</si>
  <si>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</si>
  <si>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</si>
  <si>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</si>
  <si>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</si>
  <si>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</si>
  <si>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</si>
  <si>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</si>
  <si>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</si>
  <si>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</si>
  <si>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</si>
  <si>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</si>
  <si>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</si>
  <si>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</si>
  <si>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</si>
  <si>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</si>
  <si>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</si>
  <si>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</si>
  <si>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</si>
  <si>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</si>
  <si>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</si>
  <si>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</si>
  <si>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</si>
  <si>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</si>
  <si>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</si>
  <si>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</si>
  <si>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</si>
  <si>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</si>
  <si>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</si>
  <si>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</si>
  <si>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</si>
  <si>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</si>
  <si>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</si>
  <si>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</si>
  <si>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</si>
  <si>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</si>
  <si>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</si>
  <si>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</si>
  <si>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</si>
  <si>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</si>
  <si>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</si>
  <si>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</si>
  <si>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</si>
  <si>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</si>
  <si>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</si>
  <si>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</si>
  <si>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</si>
  <si>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</si>
  <si>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</si>
  <si>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</si>
  <si>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</si>
  <si>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</si>
  <si>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</si>
  <si>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</si>
  <si>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</si>
  <si>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</si>
  <si>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</si>
  <si>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</si>
  <si>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</si>
  <si>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</si>
  <si>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</si>
  <si>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</si>
  <si>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</si>
  <si>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</si>
  <si>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</si>
  <si>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</si>
  <si>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</si>
  <si>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</si>
  <si>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</si>
  <si>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</si>
  <si>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</si>
  <si>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</si>
  <si>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</si>
  <si>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</si>
  <si>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</si>
  <si>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</si>
  <si>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</si>
  <si>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</si>
  <si>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</si>
  <si>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</si>
  <si>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</si>
  <si>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</si>
  <si>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</si>
  <si>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</si>
  <si>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</si>
  <si>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</si>
  <si>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</si>
  <si>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</si>
  <si>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</si>
  <si>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</si>
  <si>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</si>
  <si>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</si>
  <si>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</si>
  <si>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</si>
  <si>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</si>
  <si>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</si>
  <si>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</si>
  <si>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</si>
  <si>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</si>
  <si>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</si>
  <si>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</si>
  <si>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</si>
  <si>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</si>
  <si>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</si>
  <si>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</si>
  <si>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</si>
  <si>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</si>
  <si>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</si>
  <si>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</si>
  <si>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</si>
  <si>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</si>
  <si>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</si>
  <si>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</si>
  <si>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</si>
  <si>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</si>
  <si>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</si>
  <si>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</si>
  <si>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</si>
  <si>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</si>
  <si>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</si>
  <si>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</si>
  <si>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</si>
  <si>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</si>
  <si>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</si>
  <si>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</si>
  <si>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</si>
  <si>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</si>
  <si>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</si>
  <si>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</si>
  <si>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</si>
  <si>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</si>
  <si>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</si>
  <si>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</si>
  <si>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</si>
  <si>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</si>
  <si>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</si>
  <si>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</si>
  <si>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</si>
  <si>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</si>
  <si>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</si>
  <si>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</si>
  <si>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</si>
  <si>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</si>
  <si>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</si>
  <si>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</si>
  <si>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</si>
  <si>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</si>
  <si>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</si>
  <si>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</si>
  <si>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</si>
  <si>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</si>
  <si>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</si>
  <si>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</si>
  <si>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</si>
  <si>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</si>
  <si>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</si>
  <si>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</si>
  <si>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</si>
  <si>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</si>
  <si>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</si>
  <si>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</si>
  <si>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</si>
  <si>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</si>
  <si>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</si>
  <si>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</si>
  <si>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</si>
  <si>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</si>
  <si>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</si>
  <si>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</si>
  <si>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</si>
  <si>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</si>
  <si>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</si>
  <si>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</si>
  <si>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</si>
  <si>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</si>
  <si>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</si>
  <si>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</si>
  <si>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</si>
  <si>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</si>
  <si>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</si>
  <si>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</si>
  <si>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</si>
  <si>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</si>
  <si>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</si>
  <si>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</si>
  <si>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</si>
  <si>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</si>
  <si>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</si>
  <si>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</si>
  <si>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</si>
  <si>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</si>
  <si>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</si>
  <si>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</si>
  <si>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</si>
  <si>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</si>
  <si>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</si>
  <si>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</si>
  <si>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</si>
  <si>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</si>
  <si>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</si>
  <si>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</si>
  <si>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</si>
  <si>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</si>
  <si>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</si>
  <si>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</si>
  <si>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</si>
  <si>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</si>
  <si>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</si>
  <si>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</si>
  <si>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</si>
  <si>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</si>
  <si>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</si>
  <si>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</si>
  <si>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</si>
  <si>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</si>
  <si>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</si>
  <si>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</si>
  <si>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</si>
  <si>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</si>
  <si>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</si>
  <si>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</si>
  <si>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</si>
  <si>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</si>
  <si>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</si>
  <si>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</si>
  <si>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</si>
  <si>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</si>
  <si>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</si>
  <si>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</si>
  <si>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</si>
  <si>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</si>
  <si>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</si>
  <si>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</si>
  <si>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</si>
  <si>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</si>
  <si>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</si>
  <si>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</si>
  <si>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</si>
  <si>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</si>
  <si>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</si>
  <si>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</si>
  <si>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</si>
  <si>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</si>
  <si>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</si>
  <si>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</si>
  <si>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</si>
  <si>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</si>
  <si>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</si>
  <si>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</si>
  <si>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</si>
  <si>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</si>
  <si>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</si>
  <si>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</si>
  <si>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</si>
  <si>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</si>
  <si>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</si>
  <si>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</si>
  <si>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</si>
  <si>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</si>
  <si>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</si>
  <si>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</si>
  <si>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</si>
  <si>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</si>
  <si>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</si>
  <si>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</si>
  <si>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</si>
  <si>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</si>
  <si>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</si>
  <si>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</si>
  <si>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</si>
  <si>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</si>
  <si>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</si>
  <si>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</si>
  <si>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</si>
  <si>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</si>
  <si>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</si>
  <si>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</si>
  <si>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</si>
  <si>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</si>
  <si>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</si>
  <si>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</si>
  <si>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</si>
  <si>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</si>
  <si>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</si>
  <si>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</si>
  <si>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</si>
  <si>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</si>
  <si>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</si>
  <si>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</si>
  <si>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</si>
  <si>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</si>
  <si>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</si>
  <si>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</si>
  <si>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</si>
  <si>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</si>
  <si>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</si>
  <si>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</si>
  <si>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</si>
  <si>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</si>
  <si>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</si>
  <si>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</si>
  <si>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</si>
  <si>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</si>
  <si>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</si>
  <si>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</si>
  <si>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</si>
  <si>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</si>
  <si>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</si>
  <si>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</si>
  <si>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</si>
  <si>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</si>
  <si>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</si>
  <si>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</si>
  <si>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</si>
  <si>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</si>
  <si>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</si>
  <si>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</si>
  <si>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</si>
  <si>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</si>
  <si>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</si>
  <si>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</si>
  <si>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</si>
  <si>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</si>
  <si>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</si>
  <si>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</si>
  <si>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</si>
  <si>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</si>
  <si>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</si>
  <si>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</si>
  <si>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</si>
  <si>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</si>
  <si>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</si>
  <si>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</si>
  <si>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</si>
  <si>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</si>
  <si>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</si>
  <si>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</si>
  <si>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</si>
  <si>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</si>
  <si>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</si>
  <si>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</si>
  <si>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</si>
  <si>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</si>
  <si>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</si>
  <si>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</si>
  <si>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</si>
  <si>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</si>
  <si>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</si>
  <si>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</si>
  <si>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</si>
  <si>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</si>
  <si>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</si>
  <si>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</si>
  <si>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</si>
  <si>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</si>
  <si>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</si>
  <si>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</si>
  <si>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</si>
  <si>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</si>
  <si>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</si>
  <si>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</si>
  <si>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</si>
  <si>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</si>
  <si>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</si>
  <si>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</si>
  <si>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</si>
  <si>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</si>
  <si>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</si>
  <si>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</si>
  <si>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</si>
  <si>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</si>
  <si>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</si>
  <si>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</si>
  <si>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</si>
  <si>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</si>
  <si>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</si>
  <si>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</si>
  <si>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</si>
  <si>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</si>
  <si>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</si>
  <si>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</si>
  <si>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</si>
  <si>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</si>
  <si>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</si>
  <si>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</si>
  <si>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</si>
  <si>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</si>
  <si>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</si>
  <si>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</si>
  <si>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</si>
  <si>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</si>
  <si>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</si>
  <si>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</si>
  <si>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</si>
  <si>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</si>
  <si>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</si>
  <si>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</si>
  <si>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</si>
  <si>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</si>
  <si>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</si>
  <si>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</si>
  <si>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</si>
  <si>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</si>
  <si>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</si>
  <si>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</si>
  <si>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</si>
  <si>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</si>
  <si>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</si>
  <si>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</si>
  <si>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</si>
  <si>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</si>
  <si>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</si>
  <si>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</si>
  <si>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</si>
  <si>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</si>
  <si>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</si>
  <si>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</si>
  <si>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</si>
  <si>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</si>
  <si>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</si>
  <si>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</si>
  <si>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</si>
  <si>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</si>
  <si>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</si>
  <si>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</si>
  <si>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</si>
  <si>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</si>
  <si>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</si>
  <si>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</si>
  <si>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</si>
  <si>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</si>
  <si>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</si>
  <si>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</si>
  <si>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</si>
  <si>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</si>
  <si>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</si>
  <si>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</si>
  <si>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</si>
  <si>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</si>
  <si>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</si>
  <si>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</si>
  <si>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</si>
  <si>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</si>
  <si>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</si>
  <si>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</si>
  <si>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</si>
  <si>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</si>
  <si>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</si>
  <si>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</si>
  <si>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</si>
  <si>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</si>
  <si>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</si>
  <si>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</si>
  <si>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</si>
  <si>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</si>
  <si>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</si>
  <si>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</si>
  <si>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</si>
  <si>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</si>
  <si>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</si>
  <si>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</si>
  <si>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</si>
  <si>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</si>
  <si>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</si>
  <si>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</si>
  <si>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</si>
  <si>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</si>
  <si>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</si>
  <si>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</si>
  <si>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</si>
  <si>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</si>
  <si>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</si>
  <si>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</si>
  <si>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</si>
  <si>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</si>
  <si>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</si>
  <si>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</si>
  <si>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</si>
  <si>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</si>
  <si>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</si>
  <si>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</si>
  <si>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</si>
  <si>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</si>
  <si>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</si>
  <si>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</si>
  <si>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</si>
  <si>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</si>
  <si>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</si>
  <si>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</si>
  <si>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</si>
  <si>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</si>
  <si>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</si>
  <si>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</si>
  <si>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</si>
  <si>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</si>
  <si>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</si>
  <si>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</si>
  <si>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</si>
  <si>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</si>
  <si>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</si>
  <si>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</si>
  <si>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</si>
  <si>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</si>
  <si>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</si>
  <si>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</si>
  <si>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</si>
  <si>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</si>
  <si>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</si>
  <si>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</si>
  <si>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</si>
  <si>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</si>
  <si>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</si>
  <si>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</si>
  <si>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</si>
  <si>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</si>
  <si>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</si>
  <si>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</si>
  <si>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</si>
  <si>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</si>
  <si>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</si>
  <si>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</si>
  <si>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</si>
  <si>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</si>
  <si>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</si>
  <si>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</si>
  <si>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</si>
  <si>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</si>
  <si>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</si>
  <si>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</si>
  <si>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</si>
  <si>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</si>
  <si>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</si>
  <si>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</si>
  <si>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</si>
  <si>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</si>
  <si>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</si>
  <si>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</si>
  <si>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</si>
  <si>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</si>
  <si>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</si>
  <si>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</si>
  <si>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</si>
  <si>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</si>
  <si>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</si>
  <si>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</si>
  <si>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</si>
  <si>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</si>
  <si>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</si>
  <si>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</si>
  <si>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</si>
  <si>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</si>
  <si>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</si>
  <si>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</si>
  <si>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</si>
  <si>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</si>
  <si>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</si>
  <si>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</si>
  <si>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</si>
  <si>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</si>
  <si>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</si>
  <si>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</si>
  <si>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</si>
  <si>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</si>
  <si>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</si>
  <si>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</si>
  <si>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</si>
  <si>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</si>
  <si>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</si>
  <si>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</si>
  <si>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</si>
  <si>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</si>
  <si>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</si>
  <si>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</si>
  <si>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</si>
  <si>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</si>
  <si>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</si>
  <si>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</si>
  <si>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</si>
  <si>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</si>
  <si>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</si>
  <si>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</si>
  <si>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</si>
  <si>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</si>
  <si>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</si>
  <si>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</si>
  <si>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</si>
  <si>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</si>
  <si>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</si>
  <si>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</si>
  <si>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</si>
  <si>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</si>
  <si>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</si>
  <si>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</si>
  <si>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</si>
  <si>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</si>
  <si>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</si>
  <si>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</si>
  <si>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</si>
  <si>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</si>
  <si>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</si>
  <si>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</si>
  <si>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</si>
  <si>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</si>
  <si>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</si>
  <si>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</si>
  <si>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</si>
  <si>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</si>
  <si>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</si>
  <si>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</si>
  <si>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</si>
  <si>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</si>
  <si>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</si>
  <si>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</si>
  <si>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</si>
  <si>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</si>
  <si>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</si>
  <si>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</si>
  <si>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</si>
  <si>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</si>
  <si>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</si>
  <si>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</si>
  <si>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</si>
  <si>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</si>
  <si>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</si>
  <si>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</si>
  <si>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</si>
  <si>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</si>
  <si>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</si>
  <si>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</si>
  <si>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</si>
  <si>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</si>
  <si>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</si>
  <si>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</si>
  <si>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</si>
  <si>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</si>
  <si>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</si>
  <si>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</si>
  <si>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</si>
  <si>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</si>
  <si>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</si>
  <si>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</si>
  <si>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</si>
  <si>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</si>
  <si>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</si>
  <si>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</si>
  <si>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</si>
  <si>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</si>
  <si>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</si>
  <si>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</si>
  <si>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</si>
  <si>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</si>
  <si>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</si>
  <si>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</si>
  <si>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</si>
  <si>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</si>
  <si>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</si>
  <si>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</si>
  <si>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</si>
  <si>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</si>
  <si>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</si>
  <si>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</si>
  <si>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</si>
  <si>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</si>
  <si>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</si>
  <si>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</si>
  <si>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</si>
  <si>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</si>
  <si>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</si>
  <si>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</si>
  <si>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</si>
  <si>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</si>
  <si>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</si>
  <si>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</si>
  <si>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</si>
  <si>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</si>
  <si>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</si>
  <si>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</si>
  <si>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</si>
  <si>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</si>
  <si>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</si>
  <si>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</si>
  <si>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</si>
  <si>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</si>
  <si>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</si>
  <si>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</si>
  <si>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</si>
  <si>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</si>
  <si>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</si>
  <si>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</si>
  <si>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</si>
  <si>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</si>
  <si>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</si>
  <si>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</si>
  <si>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</si>
  <si>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</si>
  <si>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</si>
  <si>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</si>
  <si>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</si>
  <si>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</si>
  <si>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</si>
  <si>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</si>
  <si>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</si>
  <si>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</si>
  <si>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</si>
  <si>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</si>
  <si>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</si>
  <si>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</si>
  <si>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</si>
  <si>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</si>
  <si>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</si>
  <si>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</si>
  <si>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</si>
  <si>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</si>
  <si>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</si>
  <si>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</si>
  <si>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</si>
  <si>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</si>
  <si>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</si>
  <si>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</si>
  <si>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</si>
  <si>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</si>
  <si>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</si>
  <si>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</si>
  <si>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</si>
  <si>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</si>
  <si>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</si>
  <si>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</si>
  <si>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</si>
  <si>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</si>
  <si>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</si>
  <si>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</si>
  <si>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</si>
  <si>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</si>
  <si>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</si>
  <si>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</si>
  <si>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</si>
  <si>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</si>
  <si>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</si>
  <si>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</si>
  <si>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</si>
  <si>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</si>
  <si>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</si>
  <si>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</si>
  <si>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</si>
  <si>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</si>
  <si>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</si>
  <si>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</si>
  <si>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</si>
  <si>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</si>
  <si>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</si>
  <si>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</si>
  <si>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</si>
  <si>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</si>
  <si>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</si>
  <si>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</si>
  <si>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</si>
  <si>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Errol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</si>
</sst>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13" activePane="bottomRight" state="frozen"/>
      <selection pane="topRight" activeCell="F1" sqref="F1"/>
      <selection pane="bottomLeft" activeCell="A4" sqref="A4"/>
      <selection pane="bottomRight" activeCell="F50" sqref="F5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171</v>
      </c>
      <c r="C2" s="21">
        <v>171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2798.29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34548.019999999997</v>
      </c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4260.87</v>
      </c>
      <c r="G12" s="18"/>
      <c r="H12" s="18"/>
      <c r="I12" s="18"/>
      <c r="J12" s="67">
        <f>SUM(I441)</f>
        <v>220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2891.11</v>
      </c>
      <c r="G13" s="18">
        <v>366.34</v>
      </c>
      <c r="H13" s="18">
        <v>9752.93</v>
      </c>
      <c r="I13" s="18"/>
      <c r="J13" s="67">
        <f>SUM(I442)</f>
        <v>213019.81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44498.29</v>
      </c>
      <c r="G19" s="41">
        <f>SUM(G9:G18)</f>
        <v>366.34</v>
      </c>
      <c r="H19" s="41">
        <f>SUM(H9:H18)</f>
        <v>9752.93</v>
      </c>
      <c r="I19" s="41">
        <f>SUM(I9:I18)</f>
        <v>0</v>
      </c>
      <c r="J19" s="41">
        <f>SUM(J9:J18)</f>
        <v>213239.81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366.34</v>
      </c>
      <c r="H22" s="18">
        <v>4114.53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2746.17</v>
      </c>
      <c r="G24" s="18"/>
      <c r="H24" s="18">
        <v>4139.9399999999996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2800.38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14.94+792.45</f>
        <v>807.3900000000001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1498.46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6353.9400000000005</v>
      </c>
      <c r="G32" s="41">
        <f>SUM(G22:G31)</f>
        <v>366.34</v>
      </c>
      <c r="H32" s="41">
        <f>SUM(H22:H31)</f>
        <v>9752.93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20491.46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10000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192748.35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27144.35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38144.35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213239.81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44498.29</v>
      </c>
      <c r="G52" s="41">
        <f>G51+G32</f>
        <v>366.34</v>
      </c>
      <c r="H52" s="41">
        <f>H51+H32</f>
        <v>9752.93</v>
      </c>
      <c r="I52" s="41">
        <f>I51+I32</f>
        <v>0</v>
      </c>
      <c r="J52" s="41">
        <f>J51+J32</f>
        <v>213239.81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244749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244749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118.34</v>
      </c>
      <c r="G96" s="18"/>
      <c r="H96" s="18"/>
      <c r="I96" s="18"/>
      <c r="J96" s="18">
        <v>151.61000000000001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8860.7999999999993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>
        <v>910</v>
      </c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4194.55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3449.97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7762.8600000000006</v>
      </c>
      <c r="G111" s="41">
        <f>SUM(G96:G110)</f>
        <v>9770.7999999999993</v>
      </c>
      <c r="H111" s="41">
        <f>SUM(H96:H110)</f>
        <v>0</v>
      </c>
      <c r="I111" s="41">
        <f>SUM(I96:I110)</f>
        <v>0</v>
      </c>
      <c r="J111" s="41">
        <f>SUM(J96:J110)</f>
        <v>151.61000000000001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252511.86</v>
      </c>
      <c r="G112" s="41">
        <f>G60+G111</f>
        <v>9770.7999999999993</v>
      </c>
      <c r="H112" s="41">
        <f>H60+H79+H94+H111</f>
        <v>0</v>
      </c>
      <c r="I112" s="41">
        <f>I60+I111</f>
        <v>0</v>
      </c>
      <c r="J112" s="41">
        <f>J60+J111</f>
        <v>151.61000000000001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14426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186868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201294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160.19999999999999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160.19999999999999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201294</v>
      </c>
      <c r="G140" s="41">
        <f>G121+SUM(G136:G137)</f>
        <v>160.19999999999999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>
        <v>15267.28</v>
      </c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3115.56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2416.71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5137.13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665.86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>
        <v>1047.18</v>
      </c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665.86</v>
      </c>
      <c r="G162" s="41">
        <f>SUM(G150:G161)</f>
        <v>3463.8900000000003</v>
      </c>
      <c r="H162" s="41">
        <f>SUM(H150:H161)</f>
        <v>23519.97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8778.9500000000007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9444.8100000000013</v>
      </c>
      <c r="G169" s="41">
        <f>G147+G162+SUM(G163:G168)</f>
        <v>3463.8900000000003</v>
      </c>
      <c r="H169" s="41">
        <f>H147+H162+SUM(H163:H168)</f>
        <v>23519.97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11288.08</v>
      </c>
      <c r="H179" s="18"/>
      <c r="I179" s="18"/>
      <c r="J179" s="18">
        <v>16000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11288.08</v>
      </c>
      <c r="H183" s="41">
        <f>SUM(H179:H182)</f>
        <v>0</v>
      </c>
      <c r="I183" s="41">
        <f>SUM(I179:I182)</f>
        <v>0</v>
      </c>
      <c r="J183" s="41">
        <f>SUM(J179:J182)</f>
        <v>16000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11288.08</v>
      </c>
      <c r="H192" s="41">
        <f>+H183+SUM(H188:H191)</f>
        <v>0</v>
      </c>
      <c r="I192" s="41">
        <f>I177+I183+SUM(I188:I191)</f>
        <v>0</v>
      </c>
      <c r="J192" s="41">
        <f>J183</f>
        <v>16000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463250.67</v>
      </c>
      <c r="G193" s="47">
        <f>G112+G140+G169+G192</f>
        <v>24682.97</v>
      </c>
      <c r="H193" s="47">
        <f>H112+H140+H169+H192</f>
        <v>23519.97</v>
      </c>
      <c r="I193" s="47">
        <f>I112+I140+I169+I192</f>
        <v>0</v>
      </c>
      <c r="J193" s="47">
        <f>J112+J140+J192</f>
        <v>16151.61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119892.86</v>
      </c>
      <c r="G197" s="18">
        <v>62764.47</v>
      </c>
      <c r="H197" s="18">
        <v>254.62</v>
      </c>
      <c r="I197" s="18">
        <v>6959.01</v>
      </c>
      <c r="J197" s="18">
        <v>3862.2700000000004</v>
      </c>
      <c r="K197" s="18"/>
      <c r="L197" s="19">
        <f>SUM(F197:K197)</f>
        <v>193733.23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5563.7</v>
      </c>
      <c r="G198" s="18">
        <v>831.14</v>
      </c>
      <c r="H198" s="18"/>
      <c r="I198" s="18"/>
      <c r="J198" s="18"/>
      <c r="K198" s="18"/>
      <c r="L198" s="19">
        <f>SUM(F198:K198)</f>
        <v>6394.84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9174.8700000000008</v>
      </c>
      <c r="G202" s="18">
        <v>4474.84</v>
      </c>
      <c r="H202" s="18">
        <v>15966.05</v>
      </c>
      <c r="I202" s="18">
        <v>212.49</v>
      </c>
      <c r="J202" s="18"/>
      <c r="K202" s="18"/>
      <c r="L202" s="19">
        <f t="shared" ref="L202:L208" si="0">SUM(F202:K202)</f>
        <v>29828.250000000004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/>
      <c r="H203" s="18"/>
      <c r="I203" s="18">
        <v>516.80999999999995</v>
      </c>
      <c r="J203" s="18"/>
      <c r="K203" s="18"/>
      <c r="L203" s="19">
        <f t="shared" si="0"/>
        <v>516.80999999999995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1300</v>
      </c>
      <c r="G204" s="18">
        <v>100.64999999999999</v>
      </c>
      <c r="H204" s="18">
        <v>54167.93</v>
      </c>
      <c r="I204" s="18">
        <v>345.58</v>
      </c>
      <c r="J204" s="18"/>
      <c r="K204" s="18">
        <v>1592.24</v>
      </c>
      <c r="L204" s="19">
        <f t="shared" si="0"/>
        <v>57506.400000000001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34309.51</v>
      </c>
      <c r="G205" s="18">
        <v>15380.580000000002</v>
      </c>
      <c r="H205" s="18">
        <v>9036.7999999999993</v>
      </c>
      <c r="I205" s="18">
        <v>343.67</v>
      </c>
      <c r="J205" s="18"/>
      <c r="K205" s="18">
        <v>894.17</v>
      </c>
      <c r="L205" s="19">
        <f t="shared" si="0"/>
        <v>59964.729999999996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10457.59</v>
      </c>
      <c r="G207" s="18">
        <v>913.64</v>
      </c>
      <c r="H207" s="18">
        <v>8495.369999999999</v>
      </c>
      <c r="I207" s="18">
        <v>8658.66</v>
      </c>
      <c r="J207" s="18">
        <v>2149</v>
      </c>
      <c r="K207" s="18"/>
      <c r="L207" s="19">
        <f t="shared" si="0"/>
        <v>30674.26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19000</v>
      </c>
      <c r="I208" s="18"/>
      <c r="J208" s="18"/>
      <c r="K208" s="18"/>
      <c r="L208" s="19">
        <f t="shared" si="0"/>
        <v>19000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180698.53</v>
      </c>
      <c r="G211" s="41">
        <f t="shared" si="1"/>
        <v>84465.319999999992</v>
      </c>
      <c r="H211" s="41">
        <f t="shared" si="1"/>
        <v>106920.77</v>
      </c>
      <c r="I211" s="41">
        <f t="shared" si="1"/>
        <v>17036.22</v>
      </c>
      <c r="J211" s="41">
        <f t="shared" si="1"/>
        <v>6011.27</v>
      </c>
      <c r="K211" s="41">
        <f t="shared" si="1"/>
        <v>2486.41</v>
      </c>
      <c r="L211" s="41">
        <f t="shared" si="1"/>
        <v>397618.52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29238</v>
      </c>
      <c r="I233" s="18"/>
      <c r="J233" s="18"/>
      <c r="K233" s="18"/>
      <c r="L233" s="19">
        <f>SUM(F233:K233)</f>
        <v>29238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>
        <v>666</v>
      </c>
      <c r="I238" s="18"/>
      <c r="J238" s="18"/>
      <c r="K238" s="18"/>
      <c r="L238" s="19">
        <f t="shared" ref="L238:L244" si="4">SUM(F238:K238)</f>
        <v>666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29904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29904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180698.53</v>
      </c>
      <c r="G257" s="41">
        <f t="shared" si="8"/>
        <v>84465.319999999992</v>
      </c>
      <c r="H257" s="41">
        <f t="shared" si="8"/>
        <v>136824.77000000002</v>
      </c>
      <c r="I257" s="41">
        <f t="shared" si="8"/>
        <v>17036.22</v>
      </c>
      <c r="J257" s="41">
        <f t="shared" si="8"/>
        <v>6011.27</v>
      </c>
      <c r="K257" s="41">
        <f t="shared" si="8"/>
        <v>2486.41</v>
      </c>
      <c r="L257" s="41">
        <f t="shared" si="8"/>
        <v>427522.52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11288.08</v>
      </c>
      <c r="L263" s="19">
        <f>SUM(F263:K263)</f>
        <v>11288.08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16000</v>
      </c>
      <c r="L266" s="19">
        <f t="shared" si="9"/>
        <v>16000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27288.080000000002</v>
      </c>
      <c r="L270" s="41">
        <f t="shared" si="9"/>
        <v>27288.080000000002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180698.53</v>
      </c>
      <c r="G271" s="42">
        <f t="shared" si="11"/>
        <v>84465.319999999992</v>
      </c>
      <c r="H271" s="42">
        <f t="shared" si="11"/>
        <v>136824.77000000002</v>
      </c>
      <c r="I271" s="42">
        <f t="shared" si="11"/>
        <v>17036.22</v>
      </c>
      <c r="J271" s="42">
        <f t="shared" si="11"/>
        <v>6011.27</v>
      </c>
      <c r="K271" s="42">
        <f t="shared" si="11"/>
        <v>29774.49</v>
      </c>
      <c r="L271" s="42">
        <f t="shared" si="11"/>
        <v>454810.60000000003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>
        <v>5514.18</v>
      </c>
      <c r="I276" s="18">
        <v>3500.58</v>
      </c>
      <c r="J276" s="18">
        <v>4142.66</v>
      </c>
      <c r="K276" s="18"/>
      <c r="L276" s="19">
        <f>SUM(F276:K276)</f>
        <v>13157.42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4636.3999999999996</v>
      </c>
      <c r="G277" s="18">
        <v>0</v>
      </c>
      <c r="H277" s="18"/>
      <c r="I277" s="18"/>
      <c r="J277" s="18"/>
      <c r="K277" s="18"/>
      <c r="L277" s="19">
        <f>SUM(F277:K277)</f>
        <v>4636.3999999999996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>
        <v>2330.6999999999998</v>
      </c>
      <c r="I282" s="18"/>
      <c r="J282" s="18">
        <v>962.59</v>
      </c>
      <c r="K282" s="18">
        <v>525</v>
      </c>
      <c r="L282" s="19">
        <f t="shared" si="12"/>
        <v>3818.29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4636.3999999999996</v>
      </c>
      <c r="G290" s="42">
        <f t="shared" si="13"/>
        <v>0</v>
      </c>
      <c r="H290" s="42">
        <f t="shared" si="13"/>
        <v>7844.88</v>
      </c>
      <c r="I290" s="42">
        <f t="shared" si="13"/>
        <v>3500.58</v>
      </c>
      <c r="J290" s="42">
        <f t="shared" si="13"/>
        <v>5105.25</v>
      </c>
      <c r="K290" s="42">
        <f t="shared" si="13"/>
        <v>525</v>
      </c>
      <c r="L290" s="41">
        <f t="shared" si="13"/>
        <v>21612.11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4636.3999999999996</v>
      </c>
      <c r="G338" s="41">
        <f t="shared" si="20"/>
        <v>0</v>
      </c>
      <c r="H338" s="41">
        <f t="shared" si="20"/>
        <v>7844.88</v>
      </c>
      <c r="I338" s="41">
        <f t="shared" si="20"/>
        <v>3500.58</v>
      </c>
      <c r="J338" s="41">
        <f t="shared" si="20"/>
        <v>5105.25</v>
      </c>
      <c r="K338" s="41">
        <f t="shared" si="20"/>
        <v>525</v>
      </c>
      <c r="L338" s="41">
        <f t="shared" si="20"/>
        <v>21612.11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>
        <v>1907.8600000000001</v>
      </c>
      <c r="L350" s="19">
        <f t="shared" si="21"/>
        <v>1907.8600000000001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1907.8600000000001</v>
      </c>
      <c r="L351" s="41">
        <f>SUM(L341:L350)</f>
        <v>1907.8600000000001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4636.3999999999996</v>
      </c>
      <c r="G352" s="41">
        <f>G338</f>
        <v>0</v>
      </c>
      <c r="H352" s="41">
        <f>H338</f>
        <v>7844.88</v>
      </c>
      <c r="I352" s="41">
        <f>I338</f>
        <v>3500.58</v>
      </c>
      <c r="J352" s="41">
        <f>J338</f>
        <v>5105.25</v>
      </c>
      <c r="K352" s="47">
        <f>K338+K351</f>
        <v>2432.86</v>
      </c>
      <c r="L352" s="41">
        <f>L338+L351</f>
        <v>23519.97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15116.53</v>
      </c>
      <c r="G358" s="18">
        <v>1314.63</v>
      </c>
      <c r="H358" s="18">
        <v>234.07</v>
      </c>
      <c r="I358" s="18">
        <v>7877.74</v>
      </c>
      <c r="J358" s="18"/>
      <c r="K358" s="18">
        <v>140</v>
      </c>
      <c r="L358" s="13">
        <f>SUM(F358:K358)</f>
        <v>24682.97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15116.53</v>
      </c>
      <c r="G362" s="47">
        <f t="shared" si="22"/>
        <v>1314.63</v>
      </c>
      <c r="H362" s="47">
        <f t="shared" si="22"/>
        <v>234.07</v>
      </c>
      <c r="I362" s="47">
        <f t="shared" si="22"/>
        <v>7877.74</v>
      </c>
      <c r="J362" s="47">
        <f t="shared" si="22"/>
        <v>0</v>
      </c>
      <c r="K362" s="47">
        <f t="shared" si="22"/>
        <v>140</v>
      </c>
      <c r="L362" s="47">
        <f t="shared" si="22"/>
        <v>24682.97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6946.21</v>
      </c>
      <c r="G367" s="18"/>
      <c r="H367" s="18"/>
      <c r="I367" s="56">
        <f>SUM(F367:H367)</f>
        <v>6946.21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931.53</v>
      </c>
      <c r="G368" s="63"/>
      <c r="H368" s="63"/>
      <c r="I368" s="56">
        <f>SUM(F368:H368)</f>
        <v>931.53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7877.74</v>
      </c>
      <c r="G369" s="47">
        <f>SUM(G367:G368)</f>
        <v>0</v>
      </c>
      <c r="H369" s="47">
        <f>SUM(H367:H368)</f>
        <v>0</v>
      </c>
      <c r="I369" s="47">
        <f>SUM(I367:I368)</f>
        <v>7877.74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>
        <v>5000</v>
      </c>
      <c r="H388" s="18">
        <v>7.66</v>
      </c>
      <c r="I388" s="18"/>
      <c r="J388" s="24" t="s">
        <v>289</v>
      </c>
      <c r="K388" s="24" t="s">
        <v>289</v>
      </c>
      <c r="L388" s="56">
        <f t="shared" si="25"/>
        <v>5007.66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>
        <v>20.78</v>
      </c>
      <c r="I391" s="18"/>
      <c r="J391" s="24" t="s">
        <v>289</v>
      </c>
      <c r="K391" s="24" t="s">
        <v>289</v>
      </c>
      <c r="L391" s="56">
        <f t="shared" si="25"/>
        <v>20.78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5000</v>
      </c>
      <c r="H393" s="139">
        <f>SUM(H387:H392)</f>
        <v>28.44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5028.4399999999996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>
        <v>10000</v>
      </c>
      <c r="H398" s="18">
        <v>95.46</v>
      </c>
      <c r="I398" s="18"/>
      <c r="J398" s="24" t="s">
        <v>289</v>
      </c>
      <c r="K398" s="24" t="s">
        <v>289</v>
      </c>
      <c r="L398" s="56">
        <f t="shared" si="26"/>
        <v>10095.459999999999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>
        <v>8.4600000000000009</v>
      </c>
      <c r="I399" s="18"/>
      <c r="J399" s="24" t="s">
        <v>289</v>
      </c>
      <c r="K399" s="24" t="s">
        <v>289</v>
      </c>
      <c r="L399" s="56">
        <f t="shared" si="26"/>
        <v>8.4600000000000009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>
        <v>1000</v>
      </c>
      <c r="H400" s="18">
        <v>19.25</v>
      </c>
      <c r="I400" s="18"/>
      <c r="J400" s="24" t="s">
        <v>289</v>
      </c>
      <c r="K400" s="24" t="s">
        <v>289</v>
      </c>
      <c r="L400" s="56">
        <f t="shared" si="26"/>
        <v>1019.25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11000</v>
      </c>
      <c r="H401" s="47">
        <f>SUM(H395:H400)</f>
        <v>123.16999999999999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11123.169999999998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16000</v>
      </c>
      <c r="H408" s="47">
        <f>H393+H401+H407</f>
        <v>151.60999999999999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16151.609999999997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>
        <v>220</v>
      </c>
      <c r="H441" s="18"/>
      <c r="I441" s="56">
        <f t="shared" si="33"/>
        <v>220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22603.94</v>
      </c>
      <c r="G442" s="18">
        <v>190415.87</v>
      </c>
      <c r="H442" s="18"/>
      <c r="I442" s="56">
        <f t="shared" si="33"/>
        <v>213019.81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22603.94</v>
      </c>
      <c r="G446" s="13">
        <f>SUM(G439:G445)</f>
        <v>190635.87</v>
      </c>
      <c r="H446" s="13">
        <f>SUM(H439:H445)</f>
        <v>0</v>
      </c>
      <c r="I446" s="13">
        <f>SUM(I439:I445)</f>
        <v>213239.81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>
        <v>20491.46</v>
      </c>
      <c r="H457" s="18"/>
      <c r="I457" s="56">
        <f t="shared" si="34"/>
        <v>20491.46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22603.94</v>
      </c>
      <c r="G459" s="18">
        <v>170144.41</v>
      </c>
      <c r="H459" s="18"/>
      <c r="I459" s="56">
        <f t="shared" si="34"/>
        <v>192748.35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22603.94</v>
      </c>
      <c r="G460" s="83">
        <f>SUM(G454:G459)</f>
        <v>190635.87</v>
      </c>
      <c r="H460" s="83">
        <f>SUM(H454:H459)</f>
        <v>0</v>
      </c>
      <c r="I460" s="83">
        <f>SUM(I454:I459)</f>
        <v>213239.81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22603.94</v>
      </c>
      <c r="G461" s="42">
        <f>G452+G460</f>
        <v>190635.87</v>
      </c>
      <c r="H461" s="42">
        <f>H452+H460</f>
        <v>0</v>
      </c>
      <c r="I461" s="42">
        <f>I452+I460</f>
        <v>213239.81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29704.28</v>
      </c>
      <c r="G465" s="18">
        <v>0</v>
      </c>
      <c r="H465" s="18">
        <v>0</v>
      </c>
      <c r="I465" s="18"/>
      <c r="J465" s="18">
        <v>197088.2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463250.67</v>
      </c>
      <c r="G468" s="18">
        <v>24682.97</v>
      </c>
      <c r="H468" s="18">
        <v>23519.97</v>
      </c>
      <c r="I468" s="18"/>
      <c r="J468" s="18">
        <v>16151.61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463250.67</v>
      </c>
      <c r="G470" s="53">
        <f>SUM(G468:G469)</f>
        <v>24682.97</v>
      </c>
      <c r="H470" s="53">
        <f>SUM(H468:H469)</f>
        <v>23519.97</v>
      </c>
      <c r="I470" s="53">
        <f>SUM(I468:I469)</f>
        <v>0</v>
      </c>
      <c r="J470" s="53">
        <f>SUM(J468:J469)</f>
        <v>16151.61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454810.6</v>
      </c>
      <c r="G472" s="18">
        <v>24682.97</v>
      </c>
      <c r="H472" s="18">
        <v>23519.97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454810.6</v>
      </c>
      <c r="G474" s="53">
        <f>SUM(G472:G473)</f>
        <v>24682.97</v>
      </c>
      <c r="H474" s="53">
        <f>SUM(H472:H473)</f>
        <v>23519.97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38144.349999999977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213239.81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>
        <v>2970</v>
      </c>
      <c r="G507" s="144">
        <v>55</v>
      </c>
      <c r="H507" s="144"/>
      <c r="I507" s="144">
        <f>F507+G507</f>
        <v>3025</v>
      </c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>
        <v>14829</v>
      </c>
      <c r="G512" s="24" t="s">
        <v>289</v>
      </c>
      <c r="H512" s="18">
        <v>14029</v>
      </c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>
        <v>257654</v>
      </c>
      <c r="G513" s="24" t="s">
        <v>289</v>
      </c>
      <c r="H513" s="18">
        <v>247774</v>
      </c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>
        <v>4177</v>
      </c>
      <c r="G514" s="24" t="s">
        <v>289</v>
      </c>
      <c r="H514" s="18">
        <v>3764</v>
      </c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276660</v>
      </c>
      <c r="G517" s="42">
        <f>SUM(G511:G516)</f>
        <v>0</v>
      </c>
      <c r="H517" s="42">
        <f>SUM(H511:H516)</f>
        <v>265567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10200.1</v>
      </c>
      <c r="G521" s="18">
        <v>831.14</v>
      </c>
      <c r="H521" s="18"/>
      <c r="I521" s="18"/>
      <c r="J521" s="18"/>
      <c r="K521" s="18"/>
      <c r="L521" s="88">
        <f>SUM(F521:K521)</f>
        <v>11031.24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10200.1</v>
      </c>
      <c r="G524" s="108">
        <f t="shared" ref="G524:L524" si="36">SUM(G521:G523)</f>
        <v>831.14</v>
      </c>
      <c r="H524" s="108">
        <f t="shared" si="36"/>
        <v>0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11031.24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15379.65</v>
      </c>
      <c r="I526" s="18"/>
      <c r="J526" s="18"/>
      <c r="K526" s="18"/>
      <c r="L526" s="88">
        <f>SUM(F526:K526)</f>
        <v>15379.65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702.4</v>
      </c>
      <c r="I528" s="18"/>
      <c r="J528" s="18"/>
      <c r="K528" s="18"/>
      <c r="L528" s="88">
        <f>SUM(F528:K528)</f>
        <v>702.4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16082.05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16082.05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2921.17</v>
      </c>
      <c r="I531" s="18"/>
      <c r="J531" s="18"/>
      <c r="K531" s="18"/>
      <c r="L531" s="88">
        <f>SUM(F531:K531)</f>
        <v>2921.17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v>7490.19</v>
      </c>
      <c r="I533" s="18"/>
      <c r="J533" s="18"/>
      <c r="K533" s="18"/>
      <c r="L533" s="88">
        <f>SUM(F533:K533)</f>
        <v>7490.19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10411.36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10411.36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10200.1</v>
      </c>
      <c r="G545" s="89">
        <f t="shared" ref="G545:L545" si="41">G524+G529+G534+G539+G544</f>
        <v>831.14</v>
      </c>
      <c r="H545" s="89">
        <f t="shared" si="41"/>
        <v>26493.41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37524.65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11031.24</v>
      </c>
      <c r="G549" s="87">
        <f>L526</f>
        <v>15379.65</v>
      </c>
      <c r="H549" s="87">
        <f>L531</f>
        <v>2921.17</v>
      </c>
      <c r="I549" s="87">
        <f>L536</f>
        <v>0</v>
      </c>
      <c r="J549" s="87">
        <f>L541</f>
        <v>0</v>
      </c>
      <c r="K549" s="87">
        <f>SUM(F549:J549)</f>
        <v>29332.059999999998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702.4</v>
      </c>
      <c r="H551" s="87">
        <f>L533</f>
        <v>7490.19</v>
      </c>
      <c r="I551" s="87">
        <f>L538</f>
        <v>0</v>
      </c>
      <c r="J551" s="87">
        <f>L543</f>
        <v>0</v>
      </c>
      <c r="K551" s="87">
        <f>SUM(F551:J551)</f>
        <v>8192.59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11031.24</v>
      </c>
      <c r="G552" s="89">
        <f t="shared" si="42"/>
        <v>16082.05</v>
      </c>
      <c r="H552" s="89">
        <f t="shared" si="42"/>
        <v>10411.36</v>
      </c>
      <c r="I552" s="89">
        <f t="shared" si="42"/>
        <v>0</v>
      </c>
      <c r="J552" s="89">
        <f t="shared" si="42"/>
        <v>0</v>
      </c>
      <c r="K552" s="89">
        <f t="shared" si="42"/>
        <v>37524.649999999994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29238</v>
      </c>
      <c r="I575" s="87">
        <f>SUM(F575:H575)</f>
        <v>29238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19000</v>
      </c>
      <c r="I591" s="18"/>
      <c r="J591" s="18"/>
      <c r="K591" s="104">
        <f t="shared" ref="K591:K597" si="48">SUM(H591:J591)</f>
        <v>19000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19000</v>
      </c>
      <c r="I598" s="108">
        <f>SUM(I591:I597)</f>
        <v>0</v>
      </c>
      <c r="J598" s="108">
        <f>SUM(J591:J597)</f>
        <v>0</v>
      </c>
      <c r="K598" s="108">
        <f>SUM(K591:K597)</f>
        <v>19000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11116.52</v>
      </c>
      <c r="I604" s="18"/>
      <c r="J604" s="18"/>
      <c r="K604" s="104">
        <f>SUM(H604:J604)</f>
        <v>11116.52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11116.52</v>
      </c>
      <c r="I605" s="108">
        <f>SUM(I602:I604)</f>
        <v>0</v>
      </c>
      <c r="J605" s="108">
        <f>SUM(J602:J604)</f>
        <v>0</v>
      </c>
      <c r="K605" s="108">
        <f>SUM(K602:K604)</f>
        <v>11116.52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44498.29</v>
      </c>
      <c r="H617" s="109">
        <f>SUM(F52)</f>
        <v>44498.29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366.34</v>
      </c>
      <c r="H618" s="109">
        <f>SUM(G52)</f>
        <v>366.34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9752.93</v>
      </c>
      <c r="H619" s="109">
        <f>SUM(H52)</f>
        <v>9752.93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213239.81</v>
      </c>
      <c r="H621" s="109">
        <f>SUM(J52)</f>
        <v>213239.81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38144.35</v>
      </c>
      <c r="H622" s="109">
        <f>F476</f>
        <v>38144.349999999977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213239.81</v>
      </c>
      <c r="H626" s="109">
        <f>J476</f>
        <v>213239.81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463250.67</v>
      </c>
      <c r="H627" s="104">
        <f>SUM(F468)</f>
        <v>463250.67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24682.97</v>
      </c>
      <c r="H628" s="104">
        <f>SUM(G468)</f>
        <v>24682.97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23519.97</v>
      </c>
      <c r="H629" s="104">
        <f>SUM(H468)</f>
        <v>23519.97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16151.61</v>
      </c>
      <c r="H631" s="104">
        <f>SUM(J468)</f>
        <v>16151.61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454810.60000000003</v>
      </c>
      <c r="H632" s="104">
        <f>SUM(F472)</f>
        <v>454810.6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23519.97</v>
      </c>
      <c r="H633" s="104">
        <f>SUM(H472)</f>
        <v>23519.97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7877.74</v>
      </c>
      <c r="H634" s="104">
        <f>I369</f>
        <v>7877.74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24682.97</v>
      </c>
      <c r="H635" s="104">
        <f>SUM(G472)</f>
        <v>24682.97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16151.609999999997</v>
      </c>
      <c r="H637" s="164">
        <f>SUM(J468)</f>
        <v>16151.61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22603.94</v>
      </c>
      <c r="H639" s="104">
        <f>SUM(F461)</f>
        <v>22603.94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190635.87</v>
      </c>
      <c r="H640" s="104">
        <f>SUM(G461)</f>
        <v>190635.87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213239.81</v>
      </c>
      <c r="H642" s="104">
        <f>SUM(I461)</f>
        <v>213239.81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151.61000000000001</v>
      </c>
      <c r="H644" s="104">
        <f>H408</f>
        <v>151.60999999999999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16000</v>
      </c>
      <c r="H645" s="104">
        <f>G408</f>
        <v>16000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16151.61</v>
      </c>
      <c r="H646" s="104">
        <f>L408</f>
        <v>16151.609999999997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19000</v>
      </c>
      <c r="H647" s="104">
        <f>L208+L226+L244</f>
        <v>19000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11116.52</v>
      </c>
      <c r="H648" s="104">
        <f>(J257+J338)-(J255+J336)</f>
        <v>11116.52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19000</v>
      </c>
      <c r="H649" s="104">
        <f>H598</f>
        <v>19000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11288.08</v>
      </c>
      <c r="H652" s="104">
        <f>K263+K345</f>
        <v>11288.08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16000</v>
      </c>
      <c r="H655" s="104">
        <f>K266+K347</f>
        <v>16000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443913.6</v>
      </c>
      <c r="G660" s="19">
        <f>(L229+L309+L359)</f>
        <v>0</v>
      </c>
      <c r="H660" s="19">
        <f>(L247+L328+L360)</f>
        <v>29904</v>
      </c>
      <c r="I660" s="19">
        <f>SUM(F660:H660)</f>
        <v>473817.59999999998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9770.7999999999993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9770.7999999999993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19000</v>
      </c>
      <c r="G662" s="19">
        <f>(L226+L306)-(J226+J306)</f>
        <v>0</v>
      </c>
      <c r="H662" s="19">
        <f>(L244+L325)-(J244+J325)</f>
        <v>0</v>
      </c>
      <c r="I662" s="19">
        <f>SUM(F662:H662)</f>
        <v>19000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11116.52</v>
      </c>
      <c r="G663" s="199">
        <f>SUM(G575:G587)+SUM(I602:I604)+L612</f>
        <v>0</v>
      </c>
      <c r="H663" s="199">
        <f>SUM(H575:H587)+SUM(J602:J604)+L613</f>
        <v>29238</v>
      </c>
      <c r="I663" s="19">
        <f>SUM(F663:H663)</f>
        <v>40354.520000000004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404026.27999999997</v>
      </c>
      <c r="G664" s="19">
        <f>G660-SUM(G661:G663)</f>
        <v>0</v>
      </c>
      <c r="H664" s="19">
        <f>H660-SUM(H661:H663)</f>
        <v>666</v>
      </c>
      <c r="I664" s="19">
        <f>I660-SUM(I661:I663)</f>
        <v>404692.27999999997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14.55</v>
      </c>
      <c r="G665" s="248"/>
      <c r="H665" s="248"/>
      <c r="I665" s="19">
        <f>SUM(F665:H665)</f>
        <v>14.55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27768.13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27813.9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-666</v>
      </c>
      <c r="I669" s="19">
        <f>SUM(F669:H669)</f>
        <v>-666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27768.13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27768.13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4" workbookViewId="0">
      <selection activeCell="B20" sqref="B2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Errol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119892.86</v>
      </c>
      <c r="C9" s="229">
        <f>'DOE25'!G197+'DOE25'!G215+'DOE25'!G233+'DOE25'!G276+'DOE25'!G295+'DOE25'!G314</f>
        <v>62764.47</v>
      </c>
    </row>
    <row r="10" spans="1:3" x14ac:dyDescent="0.2">
      <c r="A10" t="s">
        <v>779</v>
      </c>
      <c r="B10" s="240">
        <v>119892.86</v>
      </c>
      <c r="C10" s="240">
        <v>62764.47</v>
      </c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119892.86</v>
      </c>
      <c r="C13" s="231">
        <f>SUM(C10:C12)</f>
        <v>62764.47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10200.099999999999</v>
      </c>
      <c r="C18" s="229">
        <f>'DOE25'!G198+'DOE25'!G216+'DOE25'!G234+'DOE25'!G277+'DOE25'!G296+'DOE25'!G315</f>
        <v>831.14</v>
      </c>
    </row>
    <row r="19" spans="1:3" x14ac:dyDescent="0.2">
      <c r="A19" t="s">
        <v>779</v>
      </c>
      <c r="B19" s="240">
        <v>10200.1</v>
      </c>
      <c r="C19" s="240">
        <v>831.14</v>
      </c>
    </row>
    <row r="20" spans="1:3" x14ac:dyDescent="0.2">
      <c r="A20" t="s">
        <v>780</v>
      </c>
      <c r="B20" s="240"/>
      <c r="C20" s="240"/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10200.1</v>
      </c>
      <c r="C22" s="231">
        <f>SUM(C19:C21)</f>
        <v>831.14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11" activePane="bottomLeft" state="frozen"/>
      <selection activeCell="F46" sqref="F46"/>
      <selection pane="bottomLeft" activeCell="E39" sqref="E3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Errol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229366.07</v>
      </c>
      <c r="D5" s="20">
        <f>SUM('DOE25'!L197:L200)+SUM('DOE25'!L215:L218)+SUM('DOE25'!L233:L236)-F5-G5</f>
        <v>225503.80000000002</v>
      </c>
      <c r="E5" s="243"/>
      <c r="F5" s="255">
        <f>SUM('DOE25'!J197:J200)+SUM('DOE25'!J215:J218)+SUM('DOE25'!J233:J236)</f>
        <v>3862.2700000000004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30494.250000000004</v>
      </c>
      <c r="D6" s="20">
        <f>'DOE25'!L202+'DOE25'!L220+'DOE25'!L238-F6-G6</f>
        <v>30494.250000000004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516.80999999999995</v>
      </c>
      <c r="D7" s="20">
        <f>'DOE25'!L203+'DOE25'!L221+'DOE25'!L239-F7-G7</f>
        <v>516.80999999999995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42832.159999999996</v>
      </c>
      <c r="D8" s="243"/>
      <c r="E8" s="20">
        <f>'DOE25'!L204+'DOE25'!L222+'DOE25'!L240-F8-G8-D9-D11</f>
        <v>41239.919999999998</v>
      </c>
      <c r="F8" s="255">
        <f>'DOE25'!J204+'DOE25'!J222+'DOE25'!J240</f>
        <v>0</v>
      </c>
      <c r="G8" s="53">
        <f>'DOE25'!K204+'DOE25'!K222+'DOE25'!K240</f>
        <v>1592.24</v>
      </c>
      <c r="H8" s="259"/>
    </row>
    <row r="9" spans="1:9" x14ac:dyDescent="0.2">
      <c r="A9" s="32">
        <v>2310</v>
      </c>
      <c r="B9" t="s">
        <v>818</v>
      </c>
      <c r="C9" s="245">
        <f t="shared" si="0"/>
        <v>4307.3999999999996</v>
      </c>
      <c r="D9" s="244">
        <v>4307.3999999999996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4238.13</v>
      </c>
      <c r="D10" s="243"/>
      <c r="E10" s="244">
        <v>4238.13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10366.84</v>
      </c>
      <c r="D11" s="244">
        <v>10366.84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59964.729999999996</v>
      </c>
      <c r="D12" s="20">
        <f>'DOE25'!L205+'DOE25'!L223+'DOE25'!L241-F12-G12</f>
        <v>59070.559999999998</v>
      </c>
      <c r="E12" s="243"/>
      <c r="F12" s="255">
        <f>'DOE25'!J205+'DOE25'!J223+'DOE25'!J241</f>
        <v>0</v>
      </c>
      <c r="G12" s="53">
        <f>'DOE25'!K205+'DOE25'!K223+'DOE25'!K241</f>
        <v>894.17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30674.26</v>
      </c>
      <c r="D14" s="20">
        <f>'DOE25'!L207+'DOE25'!L225+'DOE25'!L243-F14-G14</f>
        <v>28525.26</v>
      </c>
      <c r="E14" s="243"/>
      <c r="F14" s="255">
        <f>'DOE25'!J207+'DOE25'!J225+'DOE25'!J243</f>
        <v>2149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19000</v>
      </c>
      <c r="D15" s="20">
        <f>'DOE25'!L208+'DOE25'!L226+'DOE25'!L244-F15-G15</f>
        <v>19000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17736.760000000002</v>
      </c>
      <c r="D29" s="20">
        <f>'DOE25'!L358+'DOE25'!L359+'DOE25'!L360-'DOE25'!I367-F29-G29</f>
        <v>17596.760000000002</v>
      </c>
      <c r="E29" s="243"/>
      <c r="F29" s="255">
        <f>'DOE25'!J358+'DOE25'!J359+'DOE25'!J360</f>
        <v>0</v>
      </c>
      <c r="G29" s="53">
        <f>'DOE25'!K358+'DOE25'!K359+'DOE25'!K360</f>
        <v>140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21612.11</v>
      </c>
      <c r="D31" s="20">
        <f>'DOE25'!L290+'DOE25'!L309+'DOE25'!L328+'DOE25'!L333+'DOE25'!L334+'DOE25'!L335-F31-G31</f>
        <v>15981.86</v>
      </c>
      <c r="E31" s="243"/>
      <c r="F31" s="255">
        <f>'DOE25'!J290+'DOE25'!J309+'DOE25'!J328+'DOE25'!J333+'DOE25'!J334+'DOE25'!J335</f>
        <v>5105.25</v>
      </c>
      <c r="G31" s="53">
        <f>'DOE25'!K290+'DOE25'!K309+'DOE25'!K328+'DOE25'!K333+'DOE25'!K334+'DOE25'!K335</f>
        <v>525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411363.54000000004</v>
      </c>
      <c r="E33" s="246">
        <f>SUM(E5:E31)</f>
        <v>45478.049999999996</v>
      </c>
      <c r="F33" s="246">
        <f>SUM(F5:F31)</f>
        <v>11116.52</v>
      </c>
      <c r="G33" s="246">
        <f>SUM(G5:G31)</f>
        <v>3151.41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45478.049999999996</v>
      </c>
      <c r="E35" s="249"/>
    </row>
    <row r="36" spans="2:8" ht="12" thickTop="1" x14ac:dyDescent="0.2">
      <c r="B36" t="s">
        <v>815</v>
      </c>
      <c r="D36" s="20">
        <f>D33</f>
        <v>411363.54000000004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Errol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2798.29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34548.019999999997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4260.87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220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2891.11</v>
      </c>
      <c r="D12" s="95">
        <f>'DOE25'!G13</f>
        <v>366.34</v>
      </c>
      <c r="E12" s="95">
        <f>'DOE25'!H13</f>
        <v>9752.93</v>
      </c>
      <c r="F12" s="95">
        <f>'DOE25'!I13</f>
        <v>0</v>
      </c>
      <c r="G12" s="95">
        <f>'DOE25'!J13</f>
        <v>213019.81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44498.29</v>
      </c>
      <c r="D18" s="41">
        <f>SUM(D8:D17)</f>
        <v>366.34</v>
      </c>
      <c r="E18" s="41">
        <f>SUM(E8:E17)</f>
        <v>9752.93</v>
      </c>
      <c r="F18" s="41">
        <f>SUM(F8:F17)</f>
        <v>0</v>
      </c>
      <c r="G18" s="41">
        <f>SUM(G8:G17)</f>
        <v>213239.81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366.34</v>
      </c>
      <c r="E21" s="95">
        <f>'DOE25'!H22</f>
        <v>4114.53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2746.17</v>
      </c>
      <c r="D23" s="95">
        <f>'DOE25'!G24</f>
        <v>0</v>
      </c>
      <c r="E23" s="95">
        <f>'DOE25'!H24</f>
        <v>4139.9399999999996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2800.38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807.3900000000001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1498.46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6353.9400000000005</v>
      </c>
      <c r="D31" s="41">
        <f>SUM(D21:D30)</f>
        <v>366.34</v>
      </c>
      <c r="E31" s="41">
        <f>SUM(E21:E30)</f>
        <v>9752.93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20491.46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10000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192748.35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27144.35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38144.35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213239.81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44498.29</v>
      </c>
      <c r="D51" s="41">
        <f>D50+D31</f>
        <v>366.34</v>
      </c>
      <c r="E51" s="41">
        <f>E50+E31</f>
        <v>9752.93</v>
      </c>
      <c r="F51" s="41">
        <f>F50+F31</f>
        <v>0</v>
      </c>
      <c r="G51" s="41">
        <f>G50+G31</f>
        <v>213239.81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244749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118.34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151.61000000000001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8860.7999999999993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7644.52</v>
      </c>
      <c r="D61" s="95">
        <f>SUM('DOE25'!G98:G110)</f>
        <v>910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7762.8600000000006</v>
      </c>
      <c r="D62" s="130">
        <f>SUM(D57:D61)</f>
        <v>9770.7999999999993</v>
      </c>
      <c r="E62" s="130">
        <f>SUM(E57:E61)</f>
        <v>0</v>
      </c>
      <c r="F62" s="130">
        <f>SUM(F57:F61)</f>
        <v>0</v>
      </c>
      <c r="G62" s="130">
        <f>SUM(G57:G61)</f>
        <v>151.61000000000001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252511.86</v>
      </c>
      <c r="D63" s="22">
        <f>D56+D62</f>
        <v>9770.7999999999993</v>
      </c>
      <c r="E63" s="22">
        <f>E56+E62</f>
        <v>0</v>
      </c>
      <c r="F63" s="22">
        <f>F56+F62</f>
        <v>0</v>
      </c>
      <c r="G63" s="22">
        <f>G56+G62</f>
        <v>151.61000000000001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14426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186868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201294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160.19999999999999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160.19999999999999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201294</v>
      </c>
      <c r="D81" s="130">
        <f>SUM(D79:D80)+D78+D70</f>
        <v>160.19999999999999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15267.28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665.86</v>
      </c>
      <c r="D88" s="95">
        <f>SUM('DOE25'!G153:G161)</f>
        <v>3463.8900000000003</v>
      </c>
      <c r="E88" s="95">
        <f>SUM('DOE25'!H153:H161)</f>
        <v>8252.69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8778.9500000000007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9444.8100000000013</v>
      </c>
      <c r="D91" s="131">
        <f>SUM(D85:D90)</f>
        <v>3463.8900000000003</v>
      </c>
      <c r="E91" s="131">
        <f>SUM(E85:E90)</f>
        <v>23519.97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11288.08</v>
      </c>
      <c r="E96" s="95">
        <f>'DOE25'!H179</f>
        <v>0</v>
      </c>
      <c r="F96" s="95">
        <f>'DOE25'!I179</f>
        <v>0</v>
      </c>
      <c r="G96" s="95">
        <f>'DOE25'!J179</f>
        <v>16000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11288.08</v>
      </c>
      <c r="E103" s="86">
        <f>SUM(E93:E102)</f>
        <v>0</v>
      </c>
      <c r="F103" s="86">
        <f>SUM(F93:F102)</f>
        <v>0</v>
      </c>
      <c r="G103" s="86">
        <f>SUM(G93:G102)</f>
        <v>16000</v>
      </c>
    </row>
    <row r="104" spans="1:7" ht="12.75" thickTop="1" thickBot="1" x14ac:dyDescent="0.25">
      <c r="A104" s="33" t="s">
        <v>765</v>
      </c>
      <c r="C104" s="86">
        <f>C63+C81+C91+C103</f>
        <v>463250.67</v>
      </c>
      <c r="D104" s="86">
        <f>D63+D81+D91+D103</f>
        <v>24682.97</v>
      </c>
      <c r="E104" s="86">
        <f>E63+E81+E91+E103</f>
        <v>23519.97</v>
      </c>
      <c r="F104" s="86">
        <f>F63+F81+F91+F103</f>
        <v>0</v>
      </c>
      <c r="G104" s="86">
        <f>G63+G81+G103</f>
        <v>16151.61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222971.23</v>
      </c>
      <c r="D109" s="24" t="s">
        <v>289</v>
      </c>
      <c r="E109" s="95">
        <f>('DOE25'!L276)+('DOE25'!L295)+('DOE25'!L314)</f>
        <v>13157.42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6394.84</v>
      </c>
      <c r="D110" s="24" t="s">
        <v>289</v>
      </c>
      <c r="E110" s="95">
        <f>('DOE25'!L277)+('DOE25'!L296)+('DOE25'!L315)</f>
        <v>4636.3999999999996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229366.07</v>
      </c>
      <c r="D115" s="86">
        <f>SUM(D109:D114)</f>
        <v>0</v>
      </c>
      <c r="E115" s="86">
        <f>SUM(E109:E114)</f>
        <v>17793.82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30494.250000000004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516.80999999999995</v>
      </c>
      <c r="D119" s="24" t="s">
        <v>289</v>
      </c>
      <c r="E119" s="95">
        <f>+('DOE25'!L282)+('DOE25'!L301)+('DOE25'!L320)</f>
        <v>3818.29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57506.400000000001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59964.729999999996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30674.26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19000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24682.97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198156.45</v>
      </c>
      <c r="D128" s="86">
        <f>SUM(D118:D127)</f>
        <v>24682.97</v>
      </c>
      <c r="E128" s="86">
        <f>SUM(E118:E127)</f>
        <v>3818.29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11288.08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5028.4399999999996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11123.169999999998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-151.60999999999694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1907.8600000000001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27288.080000000002</v>
      </c>
      <c r="D144" s="141">
        <f>SUM(D130:D143)</f>
        <v>0</v>
      </c>
      <c r="E144" s="141">
        <f>SUM(E130:E143)</f>
        <v>1907.8600000000001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454810.60000000003</v>
      </c>
      <c r="D145" s="86">
        <f>(D115+D128+D144)</f>
        <v>24682.97</v>
      </c>
      <c r="E145" s="86">
        <f>(E115+E128+E144)</f>
        <v>23519.97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G34" sqref="G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Errol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27768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27768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236129</v>
      </c>
      <c r="D10" s="182">
        <f>ROUND((C10/$C$28)*100,1)</f>
        <v>50.7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11031</v>
      </c>
      <c r="D11" s="182">
        <f>ROUND((C11/$C$28)*100,1)</f>
        <v>2.4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30494</v>
      </c>
      <c r="D15" s="182">
        <f t="shared" ref="D15:D27" si="0">ROUND((C15/$C$28)*100,1)</f>
        <v>6.5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4335</v>
      </c>
      <c r="D16" s="182">
        <f t="shared" si="0"/>
        <v>0.9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57506</v>
      </c>
      <c r="D17" s="182">
        <f t="shared" si="0"/>
        <v>12.3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59965</v>
      </c>
      <c r="D18" s="182">
        <f t="shared" si="0"/>
        <v>12.9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30674</v>
      </c>
      <c r="D20" s="182">
        <f t="shared" si="0"/>
        <v>6.6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19000</v>
      </c>
      <c r="D21" s="182">
        <f t="shared" si="0"/>
        <v>4.0999999999999996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1907.8600000000001</v>
      </c>
      <c r="D26" s="182">
        <f t="shared" si="0"/>
        <v>0.4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14912.2</v>
      </c>
      <c r="D27" s="182">
        <f t="shared" si="0"/>
        <v>3.2</v>
      </c>
    </row>
    <row r="28" spans="1:4" x14ac:dyDescent="0.2">
      <c r="B28" s="187" t="s">
        <v>723</v>
      </c>
      <c r="C28" s="180">
        <f>SUM(C10:C27)</f>
        <v>465954.06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465954.06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244749</v>
      </c>
      <c r="D35" s="182">
        <f t="shared" ref="D35:D40" si="1">ROUND((C35/$C$41)*100,1)</f>
        <v>49.9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7914.4699999999721</v>
      </c>
      <c r="D36" s="182">
        <f t="shared" si="1"/>
        <v>1.6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201294</v>
      </c>
      <c r="D37" s="182">
        <f t="shared" si="1"/>
        <v>41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160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36429</v>
      </c>
      <c r="D39" s="182">
        <f t="shared" si="1"/>
        <v>7.4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490546.47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Errol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2016-08-11T16:33:06Z</cp:lastPrinted>
  <dcterms:created xsi:type="dcterms:W3CDTF">1997-12-04T19:04:30Z</dcterms:created>
  <dcterms:modified xsi:type="dcterms:W3CDTF">2016-11-16T18:42:24Z</dcterms:modified>
</cp:coreProperties>
</file>