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9" i="10"/>
  <c r="L250" i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C114" i="2"/>
  <c r="D115" i="2"/>
  <c r="F115" i="2"/>
  <c r="G115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K257" i="1" s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H545" i="1" s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H571" i="1" s="1"/>
  <c r="I560" i="1"/>
  <c r="J560" i="1"/>
  <c r="J571" i="1" s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J640" i="1" s="1"/>
  <c r="H640" i="1"/>
  <c r="G641" i="1"/>
  <c r="H641" i="1"/>
  <c r="G642" i="1"/>
  <c r="G643" i="1"/>
  <c r="H643" i="1"/>
  <c r="G644" i="1"/>
  <c r="G645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51" i="1"/>
  <c r="L290" i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D50" i="2"/>
  <c r="G157" i="2"/>
  <c r="F18" i="2"/>
  <c r="E103" i="2"/>
  <c r="D91" i="2"/>
  <c r="E31" i="2"/>
  <c r="G62" i="2"/>
  <c r="D19" i="13"/>
  <c r="C19" i="13" s="1"/>
  <c r="E13" i="13"/>
  <c r="C13" i="13" s="1"/>
  <c r="E78" i="2"/>
  <c r="E81" i="2" s="1"/>
  <c r="L427" i="1"/>
  <c r="J641" i="1"/>
  <c r="J639" i="1"/>
  <c r="K605" i="1"/>
  <c r="G648" i="1" s="1"/>
  <c r="K571" i="1"/>
  <c r="L433" i="1"/>
  <c r="L419" i="1"/>
  <c r="D81" i="2"/>
  <c r="I169" i="1"/>
  <c r="H169" i="1"/>
  <c r="J643" i="1"/>
  <c r="J476" i="1"/>
  <c r="H626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I552" i="1"/>
  <c r="G22" i="2"/>
  <c r="K545" i="1"/>
  <c r="C29" i="10"/>
  <c r="H140" i="1"/>
  <c r="L401" i="1"/>
  <c r="C139" i="2" s="1"/>
  <c r="L393" i="1"/>
  <c r="F22" i="13"/>
  <c r="H25" i="13"/>
  <c r="C25" i="13" s="1"/>
  <c r="J545" i="1"/>
  <c r="H338" i="1"/>
  <c r="H352" i="1" s="1"/>
  <c r="G192" i="1"/>
  <c r="H192" i="1"/>
  <c r="F552" i="1"/>
  <c r="C35" i="10"/>
  <c r="L309" i="1"/>
  <c r="E16" i="13"/>
  <c r="J655" i="1"/>
  <c r="J645" i="1"/>
  <c r="L570" i="1"/>
  <c r="I545" i="1"/>
  <c r="G36" i="2"/>
  <c r="C22" i="13"/>
  <c r="C138" i="2"/>
  <c r="C16" i="13"/>
  <c r="H33" i="13"/>
  <c r="J622" i="1" l="1"/>
  <c r="K503" i="1"/>
  <c r="I571" i="1"/>
  <c r="L560" i="1"/>
  <c r="L571" i="1" s="1"/>
  <c r="G545" i="1"/>
  <c r="K550" i="1"/>
  <c r="G552" i="1"/>
  <c r="L544" i="1"/>
  <c r="K551" i="1"/>
  <c r="L524" i="1"/>
  <c r="A40" i="12"/>
  <c r="J651" i="1"/>
  <c r="C21" i="10"/>
  <c r="D14" i="13"/>
  <c r="C14" i="13" s="1"/>
  <c r="E8" i="13"/>
  <c r="C8" i="13" s="1"/>
  <c r="C111" i="2"/>
  <c r="C109" i="2"/>
  <c r="H647" i="1"/>
  <c r="C124" i="2"/>
  <c r="C12" i="10"/>
  <c r="D5" i="13"/>
  <c r="C5" i="13" s="1"/>
  <c r="K598" i="1"/>
  <c r="G647" i="1" s="1"/>
  <c r="J647" i="1" s="1"/>
  <c r="I369" i="1"/>
  <c r="H634" i="1" s="1"/>
  <c r="J634" i="1"/>
  <c r="J644" i="1"/>
  <c r="H476" i="1"/>
  <c r="H624" i="1" s="1"/>
  <c r="G624" i="1"/>
  <c r="J617" i="1"/>
  <c r="C18" i="2"/>
  <c r="F338" i="1"/>
  <c r="F352" i="1" s="1"/>
  <c r="C110" i="2"/>
  <c r="D62" i="2"/>
  <c r="D63" i="2" s="1"/>
  <c r="C78" i="2"/>
  <c r="C17" i="10"/>
  <c r="C120" i="2"/>
  <c r="C121" i="2"/>
  <c r="C16" i="10"/>
  <c r="I257" i="1"/>
  <c r="I271" i="1" s="1"/>
  <c r="D29" i="13"/>
  <c r="C29" i="13" s="1"/>
  <c r="K271" i="1"/>
  <c r="C123" i="2"/>
  <c r="C20" i="10"/>
  <c r="L229" i="1"/>
  <c r="G660" i="1" s="1"/>
  <c r="D12" i="13"/>
  <c r="C12" i="13" s="1"/>
  <c r="G257" i="1"/>
  <c r="G271" i="1" s="1"/>
  <c r="E115" i="2"/>
  <c r="E118" i="2"/>
  <c r="E128" i="2" s="1"/>
  <c r="K338" i="1"/>
  <c r="K352" i="1" s="1"/>
  <c r="C18" i="10"/>
  <c r="C70" i="2"/>
  <c r="C81" i="2" s="1"/>
  <c r="C119" i="2"/>
  <c r="D7" i="13"/>
  <c r="C7" i="13" s="1"/>
  <c r="F661" i="1"/>
  <c r="H257" i="1"/>
  <c r="H271" i="1" s="1"/>
  <c r="F257" i="1"/>
  <c r="F271" i="1" s="1"/>
  <c r="L247" i="1"/>
  <c r="H660" i="1" s="1"/>
  <c r="C10" i="10"/>
  <c r="C13" i="10"/>
  <c r="H661" i="1"/>
  <c r="D127" i="2"/>
  <c r="D128" i="2" s="1"/>
  <c r="D145" i="2" s="1"/>
  <c r="L362" i="1"/>
  <c r="G635" i="1" s="1"/>
  <c r="J635" i="1" s="1"/>
  <c r="L211" i="1"/>
  <c r="F660" i="1" s="1"/>
  <c r="C112" i="2"/>
  <c r="F112" i="1"/>
  <c r="C36" i="10" s="1"/>
  <c r="C62" i="2"/>
  <c r="C63" i="2" s="1"/>
  <c r="G661" i="1"/>
  <c r="C15" i="10"/>
  <c r="E33" i="13"/>
  <c r="D35" i="13" s="1"/>
  <c r="F662" i="1"/>
  <c r="I662" i="1" s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K552" i="1" l="1"/>
  <c r="L545" i="1"/>
  <c r="C115" i="2"/>
  <c r="J624" i="1"/>
  <c r="E145" i="2"/>
  <c r="C128" i="2"/>
  <c r="D31" i="13"/>
  <c r="C31" i="13" s="1"/>
  <c r="C27" i="10"/>
  <c r="C28" i="10" s="1"/>
  <c r="D23" i="10" s="1"/>
  <c r="F33" i="13"/>
  <c r="F193" i="1"/>
  <c r="G627" i="1" s="1"/>
  <c r="J627" i="1" s="1"/>
  <c r="H664" i="1"/>
  <c r="H667" i="1" s="1"/>
  <c r="I660" i="1"/>
  <c r="I661" i="1"/>
  <c r="L257" i="1"/>
  <c r="L271" i="1" s="1"/>
  <c r="G632" i="1" s="1"/>
  <c r="J632" i="1" s="1"/>
  <c r="C104" i="2"/>
  <c r="G664" i="1"/>
  <c r="F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I664" i="1"/>
  <c r="I672" i="1" s="1"/>
  <c r="C7" i="10" s="1"/>
  <c r="H672" i="1"/>
  <c r="C6" i="10" s="1"/>
  <c r="D10" i="10"/>
  <c r="D26" i="10"/>
  <c r="D17" i="10"/>
  <c r="D25" i="10"/>
  <c r="D20" i="10"/>
  <c r="D12" i="10"/>
  <c r="D27" i="10"/>
  <c r="D15" i="10"/>
  <c r="D19" i="10"/>
  <c r="D18" i="10"/>
  <c r="C30" i="10"/>
  <c r="D22" i="10"/>
  <c r="D13" i="10"/>
  <c r="D11" i="10"/>
  <c r="D21" i="10"/>
  <c r="D24" i="10"/>
  <c r="D16" i="10"/>
  <c r="G672" i="1"/>
  <c r="C5" i="10" s="1"/>
  <c r="G667" i="1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<sst xmlns="http://schemas.openxmlformats.org/spreadsheetml/2006/main" count="3959" uniqueCount="917">
  <si>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</si>
  <si>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</si>
  <si>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</si>
  <si>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</si>
  <si>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</si>
  <si>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</si>
  <si>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</si>
  <si>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</si>
  <si>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</si>
  <si>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</si>
  <si>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</si>
  <si>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</si>
  <si>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</si>
  <si>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</si>
  <si>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</si>
  <si>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</si>
  <si>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</si>
  <si>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</si>
  <si>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</si>
  <si>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</si>
  <si>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</si>
  <si>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</si>
  <si>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</si>
  <si>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</si>
  <si>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</si>
  <si>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</si>
  <si>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</si>
  <si>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</si>
  <si>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</si>
  <si>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</si>
  <si>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</si>
  <si>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</si>
  <si>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</si>
  <si>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</si>
  <si>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</si>
  <si>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</si>
  <si>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</si>
  <si>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</si>
  <si>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</si>
  <si>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</si>
  <si>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</si>
  <si>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</si>
  <si>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</si>
  <si>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</si>
  <si>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</si>
  <si>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</si>
  <si>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</si>
  <si>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</si>
  <si>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</si>
  <si>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</si>
  <si>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</si>
  <si>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</si>
  <si>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</si>
  <si>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</si>
  <si>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</si>
  <si>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</si>
  <si>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</si>
  <si>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</si>
  <si>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</si>
  <si>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</si>
  <si>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</si>
  <si>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</si>
  <si>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</si>
  <si>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</si>
  <si>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</si>
  <si>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</si>
  <si>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</si>
  <si>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</si>
  <si>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</si>
  <si>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</si>
  <si>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</si>
  <si>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</si>
  <si>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</si>
  <si>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</si>
  <si>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</si>
  <si>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</si>
  <si>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</si>
  <si>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</si>
  <si>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</si>
  <si>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</si>
  <si>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</si>
  <si>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</si>
  <si>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</si>
  <si>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</si>
  <si>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</si>
  <si>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</si>
  <si>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</si>
  <si>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</si>
  <si>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</si>
  <si>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</si>
  <si>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</si>
  <si>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</si>
  <si>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</si>
  <si>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</si>
  <si>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</si>
  <si>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</si>
  <si>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</si>
  <si>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</si>
  <si>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</si>
  <si>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</si>
  <si>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</si>
  <si>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</si>
  <si>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</si>
  <si>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</si>
  <si>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</si>
  <si>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</si>
  <si>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</si>
  <si>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</si>
  <si>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</si>
  <si>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</si>
  <si>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</si>
  <si>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</si>
  <si>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</si>
  <si>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</si>
  <si>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</si>
  <si>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</si>
  <si>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</si>
  <si>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</si>
  <si>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</si>
  <si>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</si>
  <si>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</si>
  <si>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</si>
  <si>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</si>
  <si>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</si>
  <si>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</si>
  <si>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</si>
  <si>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</si>
  <si>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</si>
  <si>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</si>
  <si>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</si>
  <si>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</si>
  <si>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</si>
  <si>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</si>
  <si>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</si>
  <si>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</si>
  <si>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</si>
  <si>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</si>
  <si>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</si>
  <si>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</si>
  <si>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</si>
  <si>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</si>
  <si>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</si>
  <si>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</si>
  <si>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</si>
  <si>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</si>
  <si>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</si>
  <si>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</si>
  <si>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</si>
  <si>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</si>
  <si>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</si>
  <si>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</si>
  <si>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</si>
  <si>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</si>
  <si>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</si>
  <si>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</si>
  <si>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</si>
  <si>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</si>
  <si>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</si>
  <si>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</si>
  <si>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</si>
  <si>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</si>
  <si>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</si>
  <si>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</si>
  <si>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</si>
  <si>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</si>
  <si>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</si>
  <si>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</si>
  <si>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</si>
  <si>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</si>
  <si>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</si>
  <si>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</si>
  <si>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</si>
  <si>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</si>
  <si>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</si>
  <si>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</si>
  <si>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</si>
  <si>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</si>
  <si>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</si>
  <si>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</si>
  <si>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</si>
  <si>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</si>
  <si>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</si>
  <si>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</si>
  <si>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</si>
  <si>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</si>
  <si>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</si>
  <si>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</si>
  <si>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</si>
  <si>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</si>
  <si>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</si>
  <si>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</si>
  <si>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</si>
  <si>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</si>
  <si>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</si>
  <si>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</si>
  <si>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</si>
  <si>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</si>
  <si>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</si>
  <si>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</si>
  <si>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</si>
  <si>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</si>
  <si>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</si>
  <si>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</si>
  <si>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</si>
  <si>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</si>
  <si>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</si>
  <si>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</si>
  <si>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</si>
  <si>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</si>
  <si>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</si>
  <si>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</si>
  <si>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</si>
  <si>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</si>
  <si>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</si>
  <si>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</si>
  <si>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</si>
  <si>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</si>
  <si>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</si>
  <si>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</si>
  <si>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</si>
  <si>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</si>
  <si>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</si>
  <si>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</si>
  <si>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</si>
  <si>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</si>
  <si>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</si>
  <si>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</si>
  <si>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</si>
  <si>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</si>
  <si>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</si>
  <si>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</si>
  <si>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</si>
  <si>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</si>
  <si>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</si>
  <si>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</si>
  <si>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</si>
  <si>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</si>
  <si>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</si>
  <si>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</si>
  <si>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</si>
  <si>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</si>
  <si>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</si>
  <si>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</si>
  <si>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</si>
  <si>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</si>
  <si>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</si>
  <si>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</si>
  <si>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</si>
  <si>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</si>
  <si>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</si>
  <si>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</si>
  <si>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</si>
  <si>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</si>
  <si>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</si>
  <si>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</si>
  <si>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</si>
  <si>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</si>
  <si>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</si>
  <si>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</si>
  <si>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</si>
  <si>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</si>
  <si>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</si>
  <si>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</si>
  <si>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</si>
  <si>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</si>
  <si>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</si>
  <si>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</si>
  <si>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</si>
  <si>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</si>
  <si>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</si>
  <si>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</si>
  <si>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</si>
  <si>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</si>
  <si>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</si>
  <si>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</si>
  <si>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</si>
  <si>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</si>
  <si>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</si>
  <si>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</si>
  <si>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</si>
  <si>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</si>
  <si>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</si>
  <si>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</si>
  <si>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</si>
  <si>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</si>
  <si>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</si>
  <si>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</si>
  <si>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</si>
  <si>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</si>
  <si>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</si>
  <si>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</si>
  <si>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</si>
  <si>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</si>
  <si>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</si>
  <si>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</si>
  <si>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</si>
  <si>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</si>
  <si>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</si>
  <si>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</si>
  <si>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</si>
  <si>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</si>
  <si>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</si>
  <si>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</si>
  <si>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</si>
  <si>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</si>
  <si>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</si>
  <si>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</si>
  <si>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</si>
  <si>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</si>
  <si>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</si>
  <si>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</si>
  <si>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</si>
  <si>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</si>
  <si>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</si>
  <si>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</si>
  <si>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</si>
  <si>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</si>
  <si>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</si>
  <si>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</si>
  <si>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</si>
  <si>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</si>
  <si>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</si>
  <si>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</si>
  <si>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</si>
  <si>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</si>
  <si>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</si>
  <si>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</si>
  <si>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</si>
  <si>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</si>
  <si>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</si>
  <si>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</si>
  <si>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</si>
  <si>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</si>
  <si>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</si>
  <si>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</si>
  <si>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</si>
  <si>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</si>
  <si>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</si>
  <si>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</si>
  <si>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</si>
  <si>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</si>
  <si>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</si>
  <si>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</si>
  <si>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</si>
  <si>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</si>
  <si>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</si>
  <si>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</si>
  <si>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</si>
  <si>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</si>
  <si>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</si>
  <si>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</si>
  <si>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</si>
  <si>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</si>
  <si>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</si>
  <si>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</si>
  <si>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</si>
  <si>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</si>
  <si>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</si>
  <si>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</si>
  <si>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</si>
  <si>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</si>
  <si>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</si>
  <si>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</si>
  <si>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</si>
  <si>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</si>
  <si>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</si>
  <si>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</si>
  <si>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</si>
  <si>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</si>
  <si>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</si>
  <si>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</si>
  <si>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</si>
  <si>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</si>
  <si>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</si>
  <si>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</si>
  <si>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</si>
  <si>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</si>
  <si>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</si>
  <si>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</si>
  <si>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</si>
  <si>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</si>
  <si>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</si>
  <si>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</si>
  <si>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</si>
  <si>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</si>
  <si>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</si>
  <si>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</si>
  <si>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</si>
  <si>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</si>
  <si>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</si>
  <si>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</si>
  <si>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</si>
  <si>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</si>
  <si>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</si>
  <si>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</si>
  <si>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</si>
  <si>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</si>
  <si>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</si>
  <si>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</si>
  <si>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</si>
  <si>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</si>
  <si>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</si>
  <si>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</si>
  <si>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</si>
  <si>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</si>
  <si>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</si>
  <si>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</si>
  <si>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</si>
  <si>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</si>
  <si>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</si>
  <si>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</si>
  <si>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</si>
  <si>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</si>
  <si>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</si>
  <si>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</si>
  <si>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</si>
  <si>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</si>
  <si>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</si>
  <si>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</si>
  <si>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</si>
  <si>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</si>
  <si>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</si>
  <si>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</si>
  <si>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</si>
  <si>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</si>
  <si>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</si>
  <si>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</si>
  <si>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</si>
  <si>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</si>
  <si>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</si>
  <si>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</si>
  <si>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</si>
  <si>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</si>
  <si>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</si>
  <si>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</si>
  <si>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</si>
  <si>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</si>
  <si>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</si>
  <si>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</si>
  <si>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</si>
  <si>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</si>
  <si>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</si>
  <si>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</si>
  <si>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</si>
  <si>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</si>
  <si>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</si>
  <si>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</si>
  <si>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</si>
  <si>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</si>
  <si>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</si>
  <si>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</si>
  <si>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</si>
  <si>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</si>
  <si>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</si>
  <si>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</si>
  <si>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</si>
  <si>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</si>
  <si>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</si>
  <si>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</si>
  <si>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</si>
  <si>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</si>
  <si>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</si>
  <si>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</si>
  <si>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</si>
  <si>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</si>
  <si>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</si>
  <si>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</si>
  <si>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</si>
  <si>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</si>
  <si>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</si>
  <si>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</si>
  <si>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</si>
  <si>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</si>
  <si>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</si>
  <si>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</si>
  <si>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</si>
  <si>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</si>
  <si>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</si>
  <si>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</si>
  <si>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</si>
  <si>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</si>
  <si>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</si>
  <si>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</si>
  <si>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</si>
  <si>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</si>
  <si>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</si>
  <si>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</si>
  <si>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</si>
  <si>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</si>
  <si>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</si>
  <si>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</si>
  <si>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</si>
  <si>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</si>
  <si>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</si>
  <si>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</si>
  <si>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</si>
  <si>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</si>
  <si>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</si>
  <si>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</si>
  <si>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</si>
  <si>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</si>
  <si>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</si>
  <si>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</si>
  <si>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</si>
  <si>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</si>
  <si>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</si>
  <si>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</si>
  <si>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</si>
  <si>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</si>
  <si>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</si>
  <si>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</si>
  <si>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</si>
  <si>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</si>
  <si>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</si>
  <si>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</si>
  <si>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</si>
  <si>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</si>
  <si>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</si>
  <si>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</si>
  <si>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</si>
  <si>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</si>
  <si>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</si>
  <si>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</si>
  <si>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</si>
  <si>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</si>
  <si>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</si>
  <si>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</si>
  <si>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</si>
  <si>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</si>
  <si>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</si>
  <si>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</si>
  <si>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</si>
  <si>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</si>
  <si>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</si>
  <si>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</si>
  <si>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</si>
  <si>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</si>
  <si>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</si>
  <si>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</si>
  <si>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</si>
  <si>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</si>
  <si>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</si>
  <si>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</si>
  <si>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</si>
  <si>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</si>
  <si>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</si>
  <si>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</si>
  <si>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</si>
  <si>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</si>
  <si>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</si>
  <si>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</si>
  <si>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</si>
  <si>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</si>
  <si>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</si>
  <si>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</si>
  <si>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</si>
  <si>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</si>
  <si>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</si>
  <si>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</si>
  <si>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</si>
  <si>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</si>
  <si>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</si>
  <si>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</si>
  <si>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</si>
  <si>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</si>
  <si>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</si>
  <si>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</si>
  <si>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</si>
  <si>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</si>
  <si>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</si>
  <si>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</si>
  <si>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</si>
  <si>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</si>
  <si>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</si>
  <si>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</si>
  <si>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</si>
  <si>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</si>
  <si>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</si>
  <si>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</si>
  <si>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</si>
  <si>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</si>
  <si>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</si>
  <si>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</si>
  <si>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</si>
  <si>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</si>
  <si>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</si>
  <si>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</si>
  <si>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</si>
  <si>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</si>
  <si>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</si>
  <si>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</si>
  <si>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</si>
  <si>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</si>
  <si>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</si>
  <si>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</si>
  <si>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</si>
  <si>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</si>
  <si>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</si>
  <si>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</si>
  <si>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</si>
  <si>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</si>
  <si>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</si>
  <si>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</si>
  <si>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</si>
  <si>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</si>
  <si>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</si>
  <si>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</si>
  <si>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</si>
  <si>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</si>
  <si>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</si>
  <si>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</si>
  <si>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</si>
  <si>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</si>
  <si>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</si>
  <si>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</si>
  <si>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</si>
  <si>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</si>
  <si>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</si>
  <si>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</si>
  <si>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</si>
  <si>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</si>
  <si>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</si>
  <si>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</si>
  <si>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</si>
  <si>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</si>
  <si>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</si>
  <si>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</si>
  <si>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</si>
  <si>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</si>
  <si>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</si>
  <si>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</si>
  <si>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</si>
  <si>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</si>
  <si>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</si>
  <si>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</si>
  <si>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</si>
  <si>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</si>
  <si>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</si>
  <si>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</si>
  <si>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</si>
  <si>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</si>
  <si>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</si>
  <si>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</si>
  <si>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</si>
  <si>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</si>
  <si>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</si>
  <si>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</si>
  <si>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</si>
  <si>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</si>
  <si>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</si>
  <si>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</si>
  <si>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</si>
  <si>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</si>
  <si>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</si>
  <si>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</si>
  <si>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</si>
  <si>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</si>
  <si>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</si>
  <si>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</si>
  <si>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</si>
  <si>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</si>
  <si>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</si>
  <si>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</si>
  <si>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</si>
  <si>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</si>
  <si>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</si>
  <si>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</si>
  <si>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</si>
  <si>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</si>
  <si>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</si>
  <si>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</si>
  <si>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</si>
  <si>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</si>
  <si>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</si>
  <si>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</si>
  <si>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</si>
  <si>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</si>
  <si>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</si>
  <si>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</si>
  <si>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</si>
  <si>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</si>
  <si>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</si>
  <si>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</si>
  <si>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</si>
  <si>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</si>
  <si>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</si>
  <si>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</si>
  <si>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</si>
  <si>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</si>
  <si>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</si>
  <si>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</si>
  <si>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</si>
  <si>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</si>
  <si>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</si>
  <si>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</si>
  <si>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</si>
  <si>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</si>
  <si>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</si>
  <si>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</si>
  <si>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</si>
  <si>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</si>
  <si>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</si>
  <si>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</si>
  <si>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</si>
  <si>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</si>
  <si>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</si>
  <si>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</si>
  <si>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</si>
  <si>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</si>
  <si>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</si>
  <si>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</si>
  <si>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</si>
  <si>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</si>
  <si>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</si>
  <si>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</si>
  <si>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</si>
  <si>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</si>
  <si>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</si>
  <si>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</si>
  <si>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</si>
  <si>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</si>
  <si>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</si>
  <si>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</si>
  <si>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</si>
  <si>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</si>
  <si>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</si>
  <si>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</si>
  <si>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</si>
  <si>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</si>
  <si>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</si>
  <si>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</si>
  <si>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</si>
  <si>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</si>
  <si>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</si>
  <si>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</si>
  <si>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</si>
  <si>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</si>
  <si>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</si>
  <si>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</si>
  <si>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</si>
  <si>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</si>
  <si>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</si>
  <si>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</si>
  <si>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</si>
  <si>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</si>
  <si>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</si>
  <si>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</si>
  <si>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</si>
  <si>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</si>
  <si>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</si>
  <si>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</si>
  <si>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</si>
  <si>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</si>
  <si>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</si>
  <si>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</si>
  <si>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</si>
  <si>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</si>
  <si>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</si>
  <si>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</si>
  <si>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</si>
  <si>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</si>
  <si>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</si>
  <si>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</si>
  <si>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</si>
  <si>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</si>
  <si>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</si>
  <si>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</si>
  <si>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</si>
  <si>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</si>
  <si>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</si>
  <si>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</si>
  <si>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</si>
  <si>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</si>
  <si>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</si>
  <si>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</si>
  <si>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</si>
  <si>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</si>
  <si>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</si>
  <si>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</si>
  <si>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</si>
  <si>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</si>
  <si>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</si>
  <si>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</si>
  <si>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</si>
  <si>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</si>
  <si>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</si>
  <si>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</si>
  <si>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</si>
  <si>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</si>
  <si>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</si>
  <si>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</si>
  <si>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</si>
  <si>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</si>
  <si>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</si>
  <si>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</si>
  <si>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</si>
  <si>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</si>
  <si>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</si>
  <si>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</si>
  <si>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</si>
  <si>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</si>
  <si>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</si>
  <si>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</si>
  <si>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</si>
  <si>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</si>
  <si>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</si>
  <si>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</si>
  <si>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</si>
  <si>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</si>
  <si>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</si>
  <si>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</si>
  <si>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</si>
  <si>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</si>
  <si>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</si>
  <si>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</si>
  <si>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</si>
  <si>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</si>
  <si>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</si>
  <si>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</si>
  <si>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</si>
  <si>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</si>
  <si>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</si>
  <si>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</si>
  <si>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</si>
  <si>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</si>
  <si>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</si>
  <si>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</si>
  <si>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</si>
  <si>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</si>
  <si>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</si>
  <si>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</si>
  <si>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</si>
  <si>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</si>
  <si>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</si>
  <si>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</si>
  <si>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</si>
  <si>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</si>
  <si>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</si>
  <si>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</si>
  <si>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</si>
  <si>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</si>
  <si>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</si>
  <si>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</si>
  <si>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</si>
  <si>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</si>
  <si>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</si>
  <si>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</si>
  <si>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</si>
  <si>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</si>
  <si>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</si>
  <si>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</si>
  <si>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</si>
  <si>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</si>
  <si>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</si>
  <si>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</si>
  <si>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</si>
  <si>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</si>
  <si>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</si>
  <si>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</si>
  <si>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</si>
  <si>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</si>
  <si>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</si>
  <si>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</si>
  <si>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</si>
  <si>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</si>
  <si>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</si>
  <si>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</si>
  <si>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</si>
  <si>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</si>
  <si>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</si>
  <si>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</si>
  <si>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</si>
  <si>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</si>
  <si>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</si>
  <si>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</si>
  <si>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</si>
  <si>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</si>
  <si>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</si>
  <si>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</si>
  <si>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</si>
  <si>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</si>
  <si>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</si>
  <si>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</si>
  <si>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</si>
  <si>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</si>
  <si>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</si>
  <si>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</si>
  <si>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</si>
  <si>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</si>
  <si>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</si>
  <si>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</si>
  <si>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</si>
  <si>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</si>
  <si>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</si>
  <si>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</si>
  <si>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</si>
  <si>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</si>
  <si>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</si>
  <si>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</si>
  <si>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</si>
  <si>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</si>
  <si>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</si>
  <si>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</si>
  <si>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</si>
  <si>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</si>
  <si>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</si>
  <si>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</si>
  <si>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</si>
  <si>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</si>
  <si>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</si>
  <si>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</si>
  <si>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</si>
  <si>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EXETER REGION COOPERATIVE SCHOOL DISTRICT</t>
  </si>
  <si>
    <t>1/97</t>
  </si>
  <si>
    <t>1/15/17</t>
  </si>
  <si>
    <t>8/03</t>
  </si>
  <si>
    <t>8/15/23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</si>
</sst>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436907.51</v>
      </c>
      <c r="G9" s="18"/>
      <c r="H9" s="18">
        <v>357075.66</v>
      </c>
      <c r="I9" s="18"/>
      <c r="J9" s="67">
        <f>SUM(I439)</f>
        <v>1466147.39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3099953.07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47585.89</v>
      </c>
      <c r="G12" s="18">
        <v>286264.5</v>
      </c>
      <c r="H12" s="18">
        <v>181136.76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232975.74</v>
      </c>
      <c r="G13" s="18">
        <v>24783.78</v>
      </c>
      <c r="H13" s="18">
        <v>48160.89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27463.88</v>
      </c>
      <c r="G14" s="18">
        <v>3560</v>
      </c>
      <c r="H14" s="18">
        <v>367.36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669522.80000000005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4514408.8899999997</v>
      </c>
      <c r="G19" s="41">
        <f>SUM(G9:G18)</f>
        <v>314608.28000000003</v>
      </c>
      <c r="H19" s="41">
        <f>SUM(H9:H18)</f>
        <v>586740.66999999993</v>
      </c>
      <c r="I19" s="41">
        <f>SUM(I9:I18)</f>
        <v>0</v>
      </c>
      <c r="J19" s="41">
        <f>SUM(J9:J18)</f>
        <v>1466147.39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467401.26</v>
      </c>
      <c r="G22" s="18"/>
      <c r="H22" s="18">
        <v>47585.89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1035687.24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133931.04999999999</v>
      </c>
      <c r="G24" s="18"/>
      <c r="H24" s="18">
        <v>891.54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29575.83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5950</v>
      </c>
      <c r="G30" s="18">
        <v>33952.339999999997</v>
      </c>
      <c r="H30" s="18">
        <v>6885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36068.300000000003</v>
      </c>
      <c r="G31" s="18">
        <v>1500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1708613.6800000002</v>
      </c>
      <c r="G32" s="41">
        <f>SUM(G22:G31)</f>
        <v>35452.339999999997</v>
      </c>
      <c r="H32" s="41">
        <f>SUM(H22:H31)</f>
        <v>55362.43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279155.94</v>
      </c>
      <c r="H48" s="18">
        <v>531378.24</v>
      </c>
      <c r="I48" s="18"/>
      <c r="J48" s="13">
        <f>SUM(I459)</f>
        <v>1466147.39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955531.26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1800263.95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2805795.21</v>
      </c>
      <c r="G51" s="41">
        <f>SUM(G35:G50)</f>
        <v>279155.94</v>
      </c>
      <c r="H51" s="41">
        <f>SUM(H35:H50)</f>
        <v>531378.24</v>
      </c>
      <c r="I51" s="41">
        <f>SUM(I35:I50)</f>
        <v>0</v>
      </c>
      <c r="J51" s="41">
        <f>SUM(J35:J50)</f>
        <v>1466147.39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4514408.8900000006</v>
      </c>
      <c r="G52" s="41">
        <f>G51+G32</f>
        <v>314608.28000000003</v>
      </c>
      <c r="H52" s="41">
        <f>H51+H32</f>
        <v>586740.67000000004</v>
      </c>
      <c r="I52" s="41">
        <f>I51+I32</f>
        <v>0</v>
      </c>
      <c r="J52" s="41">
        <f>J51+J32</f>
        <v>1466147.39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33175768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33175768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2584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93383.55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28212.34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822114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946293.89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10466.27</v>
      </c>
      <c r="G96" s="18">
        <v>68.5</v>
      </c>
      <c r="H96" s="18"/>
      <c r="I96" s="18"/>
      <c r="J96" s="18">
        <v>14184.11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648238.37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1025087.48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89785.04</v>
      </c>
      <c r="H99" s="18">
        <v>5656.78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108309.52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141079.07999999999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253775.75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513630.62</v>
      </c>
      <c r="G111" s="41">
        <f>SUM(G96:G110)</f>
        <v>738091.91</v>
      </c>
      <c r="H111" s="41">
        <f>SUM(H96:H110)</f>
        <v>1031244.26</v>
      </c>
      <c r="I111" s="41">
        <f>SUM(I96:I110)</f>
        <v>0</v>
      </c>
      <c r="J111" s="41">
        <f>SUM(J96:J110)</f>
        <v>14184.11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34635692.509999998</v>
      </c>
      <c r="G112" s="41">
        <f>G60+G111</f>
        <v>738091.91</v>
      </c>
      <c r="H112" s="41">
        <f>H60+H79+H94+H111</f>
        <v>1031244.26</v>
      </c>
      <c r="I112" s="41">
        <f>I60+I111</f>
        <v>0</v>
      </c>
      <c r="J112" s="41">
        <f>J60+J111</f>
        <v>14184.11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6104767.0199999996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5890179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2314.84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11997260.859999999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1486872.56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646155.27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1096134.44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9172.2900000000009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3229162.27</v>
      </c>
      <c r="G136" s="41">
        <f>SUM(G123:G135)</f>
        <v>9172.2900000000009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15226423.129999999</v>
      </c>
      <c r="G140" s="41">
        <f>G121+SUM(G136:G137)</f>
        <v>9172.2900000000009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345042.99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264075.81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268941.21999999997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268941.21999999997</v>
      </c>
      <c r="G162" s="41">
        <f>SUM(G150:G161)</f>
        <v>264075.81</v>
      </c>
      <c r="H162" s="41">
        <f>SUM(H150:H161)</f>
        <v>345042.99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268941.21999999997</v>
      </c>
      <c r="G169" s="41">
        <f>G147+G162+SUM(G163:G168)</f>
        <v>264075.81</v>
      </c>
      <c r="H169" s="41">
        <f>H147+H162+SUM(H163:H168)</f>
        <v>345042.99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50131056.859999999</v>
      </c>
      <c r="G193" s="47">
        <f>G112+G140+G169+G192</f>
        <v>1011340.01</v>
      </c>
      <c r="H193" s="47">
        <f>H112+H140+H169+H192</f>
        <v>1376287.25</v>
      </c>
      <c r="I193" s="47">
        <f>I112+I140+I169+I192</f>
        <v>0</v>
      </c>
      <c r="J193" s="47">
        <f>J112+J140+J192</f>
        <v>64184.11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6280353.6299999999</v>
      </c>
      <c r="G215" s="18">
        <v>2761205.69</v>
      </c>
      <c r="H215" s="18">
        <v>6440.3</v>
      </c>
      <c r="I215" s="18">
        <v>136860.82999999999</v>
      </c>
      <c r="J215" s="18">
        <v>3000</v>
      </c>
      <c r="K215" s="18"/>
      <c r="L215" s="19">
        <f>SUM(F215:K215)</f>
        <v>9187860.4500000011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1930930.7</v>
      </c>
      <c r="G216" s="18">
        <v>848948.51</v>
      </c>
      <c r="H216" s="18">
        <v>834217.31</v>
      </c>
      <c r="I216" s="18">
        <v>37508.160000000003</v>
      </c>
      <c r="J216" s="18">
        <v>36564.58</v>
      </c>
      <c r="K216" s="18"/>
      <c r="L216" s="19">
        <f>SUM(F216:K216)</f>
        <v>3688169.2600000002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160753.51999999999</v>
      </c>
      <c r="G218" s="18">
        <v>70676.52</v>
      </c>
      <c r="H218" s="18">
        <v>21278.36</v>
      </c>
      <c r="I218" s="18">
        <v>17800.2</v>
      </c>
      <c r="J218" s="18"/>
      <c r="K218" s="18"/>
      <c r="L218" s="19">
        <f>SUM(F218:K218)</f>
        <v>270508.59999999998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1154795.69</v>
      </c>
      <c r="G220" s="18">
        <v>507714.79</v>
      </c>
      <c r="H220" s="18">
        <v>61185.29</v>
      </c>
      <c r="I220" s="18">
        <v>6069.87</v>
      </c>
      <c r="J220" s="18"/>
      <c r="K220" s="18"/>
      <c r="L220" s="19">
        <f t="shared" ref="L220:L226" si="2">SUM(F220:K220)</f>
        <v>1729765.6400000001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523344.58</v>
      </c>
      <c r="G221" s="18">
        <v>230092.46</v>
      </c>
      <c r="H221" s="18">
        <v>168576.35</v>
      </c>
      <c r="I221" s="18">
        <v>119642.33</v>
      </c>
      <c r="J221" s="18">
        <v>310001.86</v>
      </c>
      <c r="K221" s="18">
        <v>7107.5</v>
      </c>
      <c r="L221" s="19">
        <f t="shared" si="2"/>
        <v>1358765.08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68379.27</v>
      </c>
      <c r="G222" s="18">
        <v>30063.47</v>
      </c>
      <c r="H222" s="18">
        <v>539487.37</v>
      </c>
      <c r="I222" s="18"/>
      <c r="J222" s="18"/>
      <c r="K222" s="18"/>
      <c r="L222" s="19">
        <f t="shared" si="2"/>
        <v>637930.11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598285.96</v>
      </c>
      <c r="G223" s="18">
        <v>263041.02</v>
      </c>
      <c r="H223" s="18">
        <v>48678.68</v>
      </c>
      <c r="I223" s="18">
        <v>10477.15</v>
      </c>
      <c r="J223" s="18">
        <v>4231</v>
      </c>
      <c r="K223" s="18">
        <v>6884.97</v>
      </c>
      <c r="L223" s="19">
        <f t="shared" si="2"/>
        <v>931598.78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600854.16</v>
      </c>
      <c r="G225" s="18">
        <v>264137.17</v>
      </c>
      <c r="H225" s="18">
        <v>202653.26</v>
      </c>
      <c r="I225" s="18">
        <v>345681.94</v>
      </c>
      <c r="J225" s="18">
        <v>3770.57</v>
      </c>
      <c r="K225" s="18"/>
      <c r="L225" s="19">
        <f t="shared" si="2"/>
        <v>1417097.1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17967.37</v>
      </c>
      <c r="G226" s="18">
        <v>7899.49</v>
      </c>
      <c r="H226" s="18">
        <v>898337.46</v>
      </c>
      <c r="I226" s="18"/>
      <c r="J226" s="18"/>
      <c r="K226" s="18"/>
      <c r="L226" s="19">
        <f t="shared" si="2"/>
        <v>924204.32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11335664.879999997</v>
      </c>
      <c r="G229" s="41">
        <f>SUM(G215:G228)</f>
        <v>4983779.120000001</v>
      </c>
      <c r="H229" s="41">
        <f>SUM(H215:H228)</f>
        <v>2780854.38</v>
      </c>
      <c r="I229" s="41">
        <f>SUM(I215:I228)</f>
        <v>674040.48</v>
      </c>
      <c r="J229" s="41">
        <f>SUM(J215:J228)</f>
        <v>357568.01</v>
      </c>
      <c r="K229" s="41">
        <f t="shared" si="3"/>
        <v>13992.470000000001</v>
      </c>
      <c r="L229" s="41">
        <f t="shared" si="3"/>
        <v>20145899.340000004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6918946.1100000003</v>
      </c>
      <c r="G233" s="18">
        <v>2631330.48</v>
      </c>
      <c r="H233" s="18">
        <v>113481</v>
      </c>
      <c r="I233" s="18">
        <v>256642.83</v>
      </c>
      <c r="J233" s="18">
        <v>20425.46</v>
      </c>
      <c r="K233" s="18"/>
      <c r="L233" s="19">
        <f>SUM(F233:K233)</f>
        <v>9940825.8800000008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1746627.9</v>
      </c>
      <c r="G234" s="18">
        <v>671606.65</v>
      </c>
      <c r="H234" s="18">
        <v>1312451.51</v>
      </c>
      <c r="I234" s="18">
        <v>42416.24</v>
      </c>
      <c r="J234" s="18">
        <v>31875.7</v>
      </c>
      <c r="K234" s="18"/>
      <c r="L234" s="19">
        <f>SUM(F234:K234)</f>
        <v>3804978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1556424.89</v>
      </c>
      <c r="G235" s="18">
        <v>591920.81999999995</v>
      </c>
      <c r="H235" s="18">
        <v>25605.01</v>
      </c>
      <c r="I235" s="18">
        <v>102457.56</v>
      </c>
      <c r="J235" s="18">
        <v>45521.88</v>
      </c>
      <c r="K235" s="18">
        <v>1635.17</v>
      </c>
      <c r="L235" s="19">
        <f>SUM(F235:K235)</f>
        <v>2323565.3299999996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414416.75</v>
      </c>
      <c r="G236" s="18">
        <v>157606</v>
      </c>
      <c r="H236" s="18">
        <v>126595.25</v>
      </c>
      <c r="I236" s="18">
        <v>69330.39</v>
      </c>
      <c r="J236" s="18"/>
      <c r="K236" s="18"/>
      <c r="L236" s="19">
        <f>SUM(F236:K236)</f>
        <v>767948.39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1375932.4</v>
      </c>
      <c r="G238" s="18">
        <v>523278.08000000002</v>
      </c>
      <c r="H238" s="18">
        <v>74442.259999999995</v>
      </c>
      <c r="I238" s="18">
        <v>53531.23</v>
      </c>
      <c r="J238" s="18"/>
      <c r="K238" s="18"/>
      <c r="L238" s="19">
        <f t="shared" ref="L238:L244" si="4">SUM(F238:K238)</f>
        <v>2027183.97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463335.89</v>
      </c>
      <c r="G239" s="18">
        <v>176210.34</v>
      </c>
      <c r="H239" s="18">
        <v>102885.85</v>
      </c>
      <c r="I239" s="18">
        <v>152620.09</v>
      </c>
      <c r="J239" s="18">
        <v>66846.69</v>
      </c>
      <c r="K239" s="18">
        <v>7107.5</v>
      </c>
      <c r="L239" s="19">
        <f t="shared" si="4"/>
        <v>969006.35999999987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98027.78</v>
      </c>
      <c r="G240" s="18">
        <v>37280.75</v>
      </c>
      <c r="H240" s="18">
        <v>539883.39</v>
      </c>
      <c r="I240" s="18">
        <v>762.93</v>
      </c>
      <c r="J240" s="18"/>
      <c r="K240" s="18"/>
      <c r="L240" s="19">
        <f t="shared" si="4"/>
        <v>675954.85000000009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744704.66</v>
      </c>
      <c r="G241" s="18">
        <v>283217.13</v>
      </c>
      <c r="H241" s="18">
        <v>40901.760000000002</v>
      </c>
      <c r="I241" s="18">
        <v>95996.67</v>
      </c>
      <c r="J241" s="18"/>
      <c r="K241" s="18">
        <v>11857.08</v>
      </c>
      <c r="L241" s="19">
        <f t="shared" si="4"/>
        <v>1176677.3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957498.76</v>
      </c>
      <c r="G243" s="18">
        <v>364144.43</v>
      </c>
      <c r="H243" s="18">
        <v>1357163.06</v>
      </c>
      <c r="I243" s="18">
        <v>1281209.27</v>
      </c>
      <c r="J243" s="18">
        <v>5989.22</v>
      </c>
      <c r="K243" s="18"/>
      <c r="L243" s="19">
        <f t="shared" si="4"/>
        <v>3966004.74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17967.37</v>
      </c>
      <c r="G244" s="18">
        <v>6833.13</v>
      </c>
      <c r="H244" s="18">
        <v>966871.49</v>
      </c>
      <c r="I244" s="18"/>
      <c r="J244" s="18"/>
      <c r="K244" s="18"/>
      <c r="L244" s="19">
        <f t="shared" si="4"/>
        <v>991671.99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14293882.51</v>
      </c>
      <c r="G247" s="41">
        <f t="shared" si="5"/>
        <v>5443427.8099999987</v>
      </c>
      <c r="H247" s="41">
        <f t="shared" si="5"/>
        <v>4660280.58</v>
      </c>
      <c r="I247" s="41">
        <f t="shared" si="5"/>
        <v>2054967.21</v>
      </c>
      <c r="J247" s="41">
        <f t="shared" si="5"/>
        <v>170658.95</v>
      </c>
      <c r="K247" s="41">
        <f t="shared" si="5"/>
        <v>20599.75</v>
      </c>
      <c r="L247" s="41">
        <f t="shared" si="5"/>
        <v>26643816.809999999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104510.55</v>
      </c>
      <c r="G251" s="18"/>
      <c r="H251" s="18"/>
      <c r="I251" s="18">
        <v>19969.490000000002</v>
      </c>
      <c r="J251" s="18"/>
      <c r="K251" s="18"/>
      <c r="L251" s="19">
        <f t="shared" si="6"/>
        <v>124480.04000000001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104510.55</v>
      </c>
      <c r="G256" s="41">
        <f t="shared" si="7"/>
        <v>0</v>
      </c>
      <c r="H256" s="41">
        <f t="shared" si="7"/>
        <v>0</v>
      </c>
      <c r="I256" s="41">
        <f t="shared" si="7"/>
        <v>19969.490000000002</v>
      </c>
      <c r="J256" s="41">
        <f t="shared" si="7"/>
        <v>0</v>
      </c>
      <c r="K256" s="41">
        <f t="shared" si="7"/>
        <v>0</v>
      </c>
      <c r="L256" s="41">
        <f>SUM(F256:K256)</f>
        <v>124480.04000000001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25734057.939999998</v>
      </c>
      <c r="G257" s="41">
        <f t="shared" si="8"/>
        <v>10427206.93</v>
      </c>
      <c r="H257" s="41">
        <f t="shared" si="8"/>
        <v>7441134.96</v>
      </c>
      <c r="I257" s="41">
        <f t="shared" si="8"/>
        <v>2748977.18</v>
      </c>
      <c r="J257" s="41">
        <f t="shared" si="8"/>
        <v>528226.96</v>
      </c>
      <c r="K257" s="41">
        <f t="shared" si="8"/>
        <v>34592.22</v>
      </c>
      <c r="L257" s="41">
        <f t="shared" si="8"/>
        <v>46914196.190000005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2309977.41</v>
      </c>
      <c r="L260" s="19">
        <f>SUM(F260:K260)</f>
        <v>2309977.41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2121300.59</v>
      </c>
      <c r="L261" s="19">
        <f>SUM(F261:K261)</f>
        <v>2121300.59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280000</v>
      </c>
      <c r="L268" s="19">
        <f t="shared" si="9"/>
        <v>280000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4761278</v>
      </c>
      <c r="L270" s="41">
        <f t="shared" si="9"/>
        <v>4761278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25734057.939999998</v>
      </c>
      <c r="G271" s="42">
        <f t="shared" si="11"/>
        <v>10427206.93</v>
      </c>
      <c r="H271" s="42">
        <f t="shared" si="11"/>
        <v>7441134.96</v>
      </c>
      <c r="I271" s="42">
        <f t="shared" si="11"/>
        <v>2748977.18</v>
      </c>
      <c r="J271" s="42">
        <f t="shared" si="11"/>
        <v>528226.96</v>
      </c>
      <c r="K271" s="42">
        <f t="shared" si="11"/>
        <v>4795870.22</v>
      </c>
      <c r="L271" s="42">
        <f t="shared" si="11"/>
        <v>51675474.190000005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>
        <v>276925.51</v>
      </c>
      <c r="L300" s="19">
        <f t="shared" ref="L300:L306" si="14">SUM(F300:K300)</f>
        <v>276925.51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276925.51</v>
      </c>
      <c r="L309" s="41">
        <f t="shared" si="15"/>
        <v>276925.51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7425</v>
      </c>
      <c r="G316" s="18">
        <v>1519.96</v>
      </c>
      <c r="H316" s="18"/>
      <c r="I316" s="18">
        <v>92624.5</v>
      </c>
      <c r="J316" s="18"/>
      <c r="K316" s="18"/>
      <c r="L316" s="19">
        <f>SUM(F316:K316)</f>
        <v>101569.45999999999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9852.7000000000007</v>
      </c>
      <c r="J319" s="18"/>
      <c r="K319" s="18">
        <v>601846.54</v>
      </c>
      <c r="L319" s="19">
        <f t="shared" ref="L319:L325" si="16">SUM(F319:K319)</f>
        <v>611699.24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7425</v>
      </c>
      <c r="G328" s="42">
        <f t="shared" si="17"/>
        <v>1519.96</v>
      </c>
      <c r="H328" s="42">
        <f t="shared" si="17"/>
        <v>0</v>
      </c>
      <c r="I328" s="42">
        <f t="shared" si="17"/>
        <v>102477.2</v>
      </c>
      <c r="J328" s="42">
        <f t="shared" si="17"/>
        <v>0</v>
      </c>
      <c r="K328" s="42">
        <f t="shared" si="17"/>
        <v>601846.54</v>
      </c>
      <c r="L328" s="41">
        <f t="shared" si="17"/>
        <v>713268.7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253094.56</v>
      </c>
      <c r="G333" s="18">
        <v>45389.7</v>
      </c>
      <c r="H333" s="18">
        <v>17198.849999999999</v>
      </c>
      <c r="I333" s="18">
        <v>16148.1</v>
      </c>
      <c r="J333" s="18">
        <v>3265.72</v>
      </c>
      <c r="K333" s="18">
        <v>10996.06</v>
      </c>
      <c r="L333" s="19">
        <f t="shared" si="18"/>
        <v>346092.98999999993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1876.89</v>
      </c>
      <c r="G334" s="18">
        <v>143.58000000000001</v>
      </c>
      <c r="H334" s="18">
        <v>3006.08</v>
      </c>
      <c r="I334" s="18">
        <v>3134.62</v>
      </c>
      <c r="J334" s="18"/>
      <c r="K334" s="18"/>
      <c r="L334" s="19">
        <f t="shared" si="18"/>
        <v>8161.17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254971.45</v>
      </c>
      <c r="G337" s="41">
        <f t="shared" si="19"/>
        <v>45533.279999999999</v>
      </c>
      <c r="H337" s="41">
        <f t="shared" si="19"/>
        <v>20204.93</v>
      </c>
      <c r="I337" s="41">
        <f t="shared" si="19"/>
        <v>19282.72</v>
      </c>
      <c r="J337" s="41">
        <f t="shared" si="19"/>
        <v>3265.72</v>
      </c>
      <c r="K337" s="41">
        <f t="shared" si="19"/>
        <v>10996.06</v>
      </c>
      <c r="L337" s="41">
        <f t="shared" si="18"/>
        <v>354254.16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262396.45</v>
      </c>
      <c r="G338" s="41">
        <f t="shared" si="20"/>
        <v>47053.24</v>
      </c>
      <c r="H338" s="41">
        <f t="shared" si="20"/>
        <v>20204.93</v>
      </c>
      <c r="I338" s="41">
        <f t="shared" si="20"/>
        <v>121759.92</v>
      </c>
      <c r="J338" s="41">
        <f t="shared" si="20"/>
        <v>3265.72</v>
      </c>
      <c r="K338" s="41">
        <f t="shared" si="20"/>
        <v>889768.1100000001</v>
      </c>
      <c r="L338" s="41">
        <f t="shared" si="20"/>
        <v>1344448.3699999999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262396.45</v>
      </c>
      <c r="G352" s="41">
        <f>G338</f>
        <v>47053.24</v>
      </c>
      <c r="H352" s="41">
        <f>H338</f>
        <v>20204.93</v>
      </c>
      <c r="I352" s="41">
        <f>I338</f>
        <v>121759.92</v>
      </c>
      <c r="J352" s="41">
        <f>J338</f>
        <v>3265.72</v>
      </c>
      <c r="K352" s="47">
        <f>K338+K351</f>
        <v>889768.1100000001</v>
      </c>
      <c r="L352" s="41">
        <f>L338+L351</f>
        <v>1344448.3699999999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134109.23000000001</v>
      </c>
      <c r="G359" s="18">
        <v>27403.35</v>
      </c>
      <c r="H359" s="18">
        <v>7468.19</v>
      </c>
      <c r="I359" s="18">
        <v>170032.01</v>
      </c>
      <c r="J359" s="18">
        <v>22128.34</v>
      </c>
      <c r="K359" s="18">
        <v>679.04</v>
      </c>
      <c r="L359" s="19">
        <f>SUM(F359:K359)</f>
        <v>361820.16000000003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201780.43</v>
      </c>
      <c r="G360" s="18">
        <v>40522.15</v>
      </c>
      <c r="H360" s="18">
        <v>12346.17</v>
      </c>
      <c r="I360" s="18">
        <v>346036.85</v>
      </c>
      <c r="J360" s="18">
        <v>29624.15</v>
      </c>
      <c r="K360" s="18">
        <v>400</v>
      </c>
      <c r="L360" s="19">
        <f>SUM(F360:K360)</f>
        <v>630709.75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335889.66000000003</v>
      </c>
      <c r="G362" s="47">
        <f t="shared" si="22"/>
        <v>67925.5</v>
      </c>
      <c r="H362" s="47">
        <f t="shared" si="22"/>
        <v>19814.36</v>
      </c>
      <c r="I362" s="47">
        <f t="shared" si="22"/>
        <v>516068.86</v>
      </c>
      <c r="J362" s="47">
        <f t="shared" si="22"/>
        <v>51752.490000000005</v>
      </c>
      <c r="K362" s="47">
        <f t="shared" si="22"/>
        <v>1079.04</v>
      </c>
      <c r="L362" s="47">
        <f t="shared" si="22"/>
        <v>992529.91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v>161590.04999999999</v>
      </c>
      <c r="H367" s="18">
        <v>278093.86</v>
      </c>
      <c r="I367" s="56">
        <f>SUM(F367:H367)</f>
        <v>439683.91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v>8441.9599999999991</v>
      </c>
      <c r="H368" s="63">
        <v>67942.990000000005</v>
      </c>
      <c r="I368" s="56">
        <f>SUM(F368:H368)</f>
        <v>76384.950000000012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170032.00999999998</v>
      </c>
      <c r="H369" s="47">
        <f>SUM(H367:H368)</f>
        <v>346036.85</v>
      </c>
      <c r="I369" s="47">
        <f>SUM(I367:I368)</f>
        <v>516068.86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3932.86</v>
      </c>
      <c r="I389" s="18"/>
      <c r="J389" s="24" t="s">
        <v>289</v>
      </c>
      <c r="K389" s="24" t="s">
        <v>289</v>
      </c>
      <c r="L389" s="56">
        <f t="shared" si="25"/>
        <v>3932.86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>
        <v>50000</v>
      </c>
      <c r="H391" s="18">
        <v>168.58</v>
      </c>
      <c r="I391" s="18"/>
      <c r="J391" s="24" t="s">
        <v>289</v>
      </c>
      <c r="K391" s="24" t="s">
        <v>289</v>
      </c>
      <c r="L391" s="56">
        <f t="shared" si="25"/>
        <v>50168.58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4101.4400000000005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54101.440000000002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5022.71</v>
      </c>
      <c r="I396" s="18"/>
      <c r="J396" s="24" t="s">
        <v>289</v>
      </c>
      <c r="K396" s="24" t="s">
        <v>289</v>
      </c>
      <c r="L396" s="56">
        <f t="shared" si="26"/>
        <v>5022.71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5059.96</v>
      </c>
      <c r="I397" s="18"/>
      <c r="J397" s="24" t="s">
        <v>289</v>
      </c>
      <c r="K397" s="24" t="s">
        <v>289</v>
      </c>
      <c r="L397" s="56">
        <f t="shared" si="26"/>
        <v>5059.96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10082.67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10082.67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14184.11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64184.11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447503.3</v>
      </c>
      <c r="G439" s="18">
        <v>1018644.09</v>
      </c>
      <c r="H439" s="18"/>
      <c r="I439" s="56">
        <f t="shared" ref="I439:I445" si="33">SUM(F439:H439)</f>
        <v>1466147.39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447503.3</v>
      </c>
      <c r="G446" s="13">
        <f>SUM(G439:G445)</f>
        <v>1018644.09</v>
      </c>
      <c r="H446" s="13">
        <f>SUM(H439:H445)</f>
        <v>0</v>
      </c>
      <c r="I446" s="13">
        <f>SUM(I439:I445)</f>
        <v>1466147.39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447503.3</v>
      </c>
      <c r="G459" s="18">
        <v>1018644.09</v>
      </c>
      <c r="H459" s="18"/>
      <c r="I459" s="56">
        <f t="shared" si="34"/>
        <v>1466147.39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447503.3</v>
      </c>
      <c r="G460" s="83">
        <f>SUM(G454:G459)</f>
        <v>1018644.09</v>
      </c>
      <c r="H460" s="83">
        <f>SUM(H454:H459)</f>
        <v>0</v>
      </c>
      <c r="I460" s="83">
        <f>SUM(I454:I459)</f>
        <v>1466147.39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447503.3</v>
      </c>
      <c r="G461" s="42">
        <f>G452+G460</f>
        <v>1018644.09</v>
      </c>
      <c r="H461" s="42">
        <f>H452+H460</f>
        <v>0</v>
      </c>
      <c r="I461" s="42">
        <f>I452+I460</f>
        <v>1466147.39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4350212.54</v>
      </c>
      <c r="G465" s="18">
        <v>260345.84</v>
      </c>
      <c r="H465" s="18">
        <v>499539.36</v>
      </c>
      <c r="I465" s="18"/>
      <c r="J465" s="18">
        <v>1401963.28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50131056.859999999</v>
      </c>
      <c r="G468" s="18">
        <v>1011340.01</v>
      </c>
      <c r="H468" s="18">
        <v>1376287.25</v>
      </c>
      <c r="I468" s="18"/>
      <c r="J468" s="18">
        <v>64184.11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50131056.859999999</v>
      </c>
      <c r="G470" s="53">
        <f>SUM(G468:G469)</f>
        <v>1011340.01</v>
      </c>
      <c r="H470" s="53">
        <f>SUM(H468:H469)</f>
        <v>1376287.25</v>
      </c>
      <c r="I470" s="53">
        <f>SUM(I468:I469)</f>
        <v>0</v>
      </c>
      <c r="J470" s="53">
        <f>SUM(J468:J469)</f>
        <v>64184.11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51675474.189999998</v>
      </c>
      <c r="G472" s="18">
        <v>992529.91</v>
      </c>
      <c r="H472" s="18">
        <v>1344448.37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51675474.189999998</v>
      </c>
      <c r="G474" s="53">
        <f>SUM(G472:G473)</f>
        <v>992529.91</v>
      </c>
      <c r="H474" s="53">
        <f>SUM(H472:H473)</f>
        <v>1344448.37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2805795.2100000009</v>
      </c>
      <c r="G476" s="53">
        <f>(G465+G470)- G474</f>
        <v>279155.94000000006</v>
      </c>
      <c r="H476" s="53">
        <f>(H465+H470)- H474</f>
        <v>531378.23999999976</v>
      </c>
      <c r="I476" s="53">
        <f>(I465+I470)- I474</f>
        <v>0</v>
      </c>
      <c r="J476" s="53">
        <f>(J465+J470)- J474</f>
        <v>1466147.3900000001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15600000</v>
      </c>
      <c r="G493" s="18">
        <v>42695000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5.46</v>
      </c>
      <c r="G494" s="18">
        <v>3.7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832324.21</v>
      </c>
      <c r="G495" s="18">
        <v>14244281.41</v>
      </c>
      <c r="H495" s="18"/>
      <c r="I495" s="18"/>
      <c r="J495" s="18"/>
      <c r="K495" s="53">
        <f>SUM(F495:J495)</f>
        <v>15076605.620000001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428448.16</v>
      </c>
      <c r="G497" s="18">
        <v>1881529.25</v>
      </c>
      <c r="H497" s="18"/>
      <c r="I497" s="18"/>
      <c r="J497" s="18"/>
      <c r="K497" s="53">
        <f t="shared" si="35"/>
        <v>2309977.41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403876.05</v>
      </c>
      <c r="G498" s="204">
        <v>12362752.16</v>
      </c>
      <c r="H498" s="204"/>
      <c r="I498" s="204"/>
      <c r="J498" s="204"/>
      <c r="K498" s="205">
        <f t="shared" si="35"/>
        <v>12766628.210000001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904323.95</v>
      </c>
      <c r="G499" s="18">
        <v>13659746.939999999</v>
      </c>
      <c r="H499" s="18"/>
      <c r="I499" s="18"/>
      <c r="J499" s="18"/>
      <c r="K499" s="53">
        <f t="shared" si="35"/>
        <v>14564070.889999999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1308200</v>
      </c>
      <c r="G500" s="42">
        <f>SUM(G498:G499)</f>
        <v>26022499.100000001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27330699.100000001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403876.05</v>
      </c>
      <c r="G501" s="204">
        <v>1800925.92</v>
      </c>
      <c r="H501" s="204"/>
      <c r="I501" s="204"/>
      <c r="J501" s="204"/>
      <c r="K501" s="205">
        <f t="shared" si="35"/>
        <v>2204801.9699999997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904323.95</v>
      </c>
      <c r="G502" s="18">
        <v>1452549.08</v>
      </c>
      <c r="H502" s="18"/>
      <c r="I502" s="18"/>
      <c r="J502" s="18"/>
      <c r="K502" s="53">
        <f t="shared" si="35"/>
        <v>2356873.0300000003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1308200</v>
      </c>
      <c r="G503" s="42">
        <f>SUM(G501:G502)</f>
        <v>3253475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4561675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1930930.7</v>
      </c>
      <c r="G522" s="18">
        <v>848948.51</v>
      </c>
      <c r="H522" s="18">
        <v>834217.31</v>
      </c>
      <c r="I522" s="18">
        <v>37508.160000000003</v>
      </c>
      <c r="J522" s="18">
        <v>36564.58</v>
      </c>
      <c r="K522" s="18"/>
      <c r="L522" s="88">
        <f>SUM(F522:K522)</f>
        <v>3688169.2600000002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1746627.9</v>
      </c>
      <c r="G523" s="18">
        <v>671606.65</v>
      </c>
      <c r="H523" s="18">
        <v>1312451.51</v>
      </c>
      <c r="I523" s="18">
        <v>42416.24</v>
      </c>
      <c r="J523" s="18">
        <v>31875.7</v>
      </c>
      <c r="K523" s="18"/>
      <c r="L523" s="88">
        <f>SUM(F523:K523)</f>
        <v>3804978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3677558.5999999996</v>
      </c>
      <c r="G524" s="108">
        <f t="shared" ref="G524:L524" si="36">SUM(G521:G523)</f>
        <v>1520555.1600000001</v>
      </c>
      <c r="H524" s="108">
        <f t="shared" si="36"/>
        <v>2146668.8200000003</v>
      </c>
      <c r="I524" s="108">
        <f t="shared" si="36"/>
        <v>79924.399999999994</v>
      </c>
      <c r="J524" s="108">
        <f t="shared" si="36"/>
        <v>68440.28</v>
      </c>
      <c r="K524" s="108">
        <f t="shared" si="36"/>
        <v>0</v>
      </c>
      <c r="L524" s="89">
        <f t="shared" si="36"/>
        <v>7493147.2599999998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361536.5</v>
      </c>
      <c r="G527" s="18">
        <v>137383.87</v>
      </c>
      <c r="H527" s="18">
        <v>29854.95</v>
      </c>
      <c r="I527" s="18"/>
      <c r="J527" s="18"/>
      <c r="K527" s="18"/>
      <c r="L527" s="88">
        <f>SUM(F527:K527)</f>
        <v>528775.31999999995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347136.7</v>
      </c>
      <c r="G528" s="18">
        <v>131911.95000000001</v>
      </c>
      <c r="H528" s="18">
        <v>10922.53</v>
      </c>
      <c r="I528" s="18"/>
      <c r="J528" s="18"/>
      <c r="K528" s="18"/>
      <c r="L528" s="88">
        <f>SUM(F528:K528)</f>
        <v>489971.18000000005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708673.2</v>
      </c>
      <c r="G529" s="89">
        <f t="shared" ref="G529:L529" si="37">SUM(G526:G528)</f>
        <v>269295.82</v>
      </c>
      <c r="H529" s="89">
        <f t="shared" si="37"/>
        <v>40777.480000000003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1018746.5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62279.27</v>
      </c>
      <c r="G532" s="18">
        <v>23666.12</v>
      </c>
      <c r="H532" s="18"/>
      <c r="I532" s="18"/>
      <c r="J532" s="18"/>
      <c r="K532" s="18"/>
      <c r="L532" s="88">
        <f>SUM(F532:K532)</f>
        <v>85945.39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57780.28</v>
      </c>
      <c r="G533" s="18">
        <v>21956.51</v>
      </c>
      <c r="H533" s="18"/>
      <c r="I533" s="18"/>
      <c r="J533" s="18"/>
      <c r="K533" s="18"/>
      <c r="L533" s="88">
        <f>SUM(F533:K533)</f>
        <v>79736.789999999994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120059.54999999999</v>
      </c>
      <c r="G534" s="89">
        <f t="shared" ref="G534:L534" si="38">SUM(G531:G533)</f>
        <v>45622.63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165682.18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12056.54</v>
      </c>
      <c r="I537" s="18"/>
      <c r="J537" s="18"/>
      <c r="K537" s="18"/>
      <c r="L537" s="88">
        <f>SUM(F537:K537)</f>
        <v>12056.54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6910.02</v>
      </c>
      <c r="I538" s="18"/>
      <c r="J538" s="18"/>
      <c r="K538" s="18"/>
      <c r="L538" s="88">
        <f>SUM(F538:K538)</f>
        <v>6910.02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18966.560000000001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18966.560000000001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275192.95</v>
      </c>
      <c r="I542" s="18"/>
      <c r="J542" s="18"/>
      <c r="K542" s="18"/>
      <c r="L542" s="88">
        <f>SUM(F542:K542)</f>
        <v>275192.95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193144.83</v>
      </c>
      <c r="I543" s="18"/>
      <c r="J543" s="18"/>
      <c r="K543" s="18"/>
      <c r="L543" s="88">
        <f>SUM(F543:K543)</f>
        <v>193144.83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468337.78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468337.78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4506291.3499999996</v>
      </c>
      <c r="G545" s="89">
        <f t="shared" ref="G545:L545" si="41">G524+G529+G534+G539+G544</f>
        <v>1835473.61</v>
      </c>
      <c r="H545" s="89">
        <f t="shared" si="41"/>
        <v>2674750.6400000006</v>
      </c>
      <c r="I545" s="89">
        <f t="shared" si="41"/>
        <v>79924.399999999994</v>
      </c>
      <c r="J545" s="89">
        <f t="shared" si="41"/>
        <v>68440.28</v>
      </c>
      <c r="K545" s="89">
        <f t="shared" si="41"/>
        <v>0</v>
      </c>
      <c r="L545" s="89">
        <f t="shared" si="41"/>
        <v>9164880.2799999993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3688169.2600000002</v>
      </c>
      <c r="G550" s="87">
        <f>L527</f>
        <v>528775.31999999995</v>
      </c>
      <c r="H550" s="87">
        <f>L532</f>
        <v>85945.39</v>
      </c>
      <c r="I550" s="87">
        <f>L537</f>
        <v>12056.54</v>
      </c>
      <c r="J550" s="87">
        <f>L542</f>
        <v>275192.95</v>
      </c>
      <c r="K550" s="87">
        <f>SUM(F550:J550)</f>
        <v>4590139.46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3804978</v>
      </c>
      <c r="G551" s="87">
        <f>L528</f>
        <v>489971.18000000005</v>
      </c>
      <c r="H551" s="87">
        <f>L533</f>
        <v>79736.789999999994</v>
      </c>
      <c r="I551" s="87">
        <f>L538</f>
        <v>6910.02</v>
      </c>
      <c r="J551" s="87">
        <f>L543</f>
        <v>193144.83</v>
      </c>
      <c r="K551" s="87">
        <f>SUM(F551:J551)</f>
        <v>4574740.8199999994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7493147.2599999998</v>
      </c>
      <c r="G552" s="89">
        <f t="shared" si="42"/>
        <v>1018746.5</v>
      </c>
      <c r="H552" s="89">
        <f t="shared" si="42"/>
        <v>165682.18</v>
      </c>
      <c r="I552" s="89">
        <f t="shared" si="42"/>
        <v>18966.560000000001</v>
      </c>
      <c r="J552" s="89">
        <f t="shared" si="42"/>
        <v>468337.78</v>
      </c>
      <c r="K552" s="89">
        <f t="shared" si="42"/>
        <v>9164880.2799999993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44619.65</v>
      </c>
      <c r="G563" s="18">
        <v>16955.47</v>
      </c>
      <c r="H563" s="18"/>
      <c r="I563" s="18">
        <v>950</v>
      </c>
      <c r="J563" s="18"/>
      <c r="K563" s="18"/>
      <c r="L563" s="88">
        <f>SUM(F563:K563)</f>
        <v>62525.120000000003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12225.5</v>
      </c>
      <c r="G564" s="18">
        <v>4645.6899999999996</v>
      </c>
      <c r="H564" s="18"/>
      <c r="I564" s="18">
        <v>342.93</v>
      </c>
      <c r="J564" s="18"/>
      <c r="K564" s="18"/>
      <c r="L564" s="88">
        <f>SUM(F564:K564)</f>
        <v>17214.12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56845.15</v>
      </c>
      <c r="G565" s="89">
        <f t="shared" si="44"/>
        <v>21601.16</v>
      </c>
      <c r="H565" s="89">
        <f t="shared" si="44"/>
        <v>0</v>
      </c>
      <c r="I565" s="89">
        <f t="shared" si="44"/>
        <v>1292.93</v>
      </c>
      <c r="J565" s="89">
        <f t="shared" si="44"/>
        <v>0</v>
      </c>
      <c r="K565" s="89">
        <f t="shared" si="44"/>
        <v>0</v>
      </c>
      <c r="L565" s="89">
        <f t="shared" si="44"/>
        <v>79739.240000000005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56845.15</v>
      </c>
      <c r="G571" s="89">
        <f t="shared" ref="G571:L571" si="46">G560+G565+G570</f>
        <v>21601.16</v>
      </c>
      <c r="H571" s="89">
        <f t="shared" si="46"/>
        <v>0</v>
      </c>
      <c r="I571" s="89">
        <f t="shared" si="46"/>
        <v>1292.93</v>
      </c>
      <c r="J571" s="89">
        <f t="shared" si="46"/>
        <v>0</v>
      </c>
      <c r="K571" s="89">
        <f t="shared" si="46"/>
        <v>0</v>
      </c>
      <c r="L571" s="89">
        <f t="shared" si="46"/>
        <v>79739.240000000005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41865</v>
      </c>
      <c r="I579" s="87">
        <f t="shared" si="47"/>
        <v>41865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694768.5</v>
      </c>
      <c r="H582" s="18"/>
      <c r="I582" s="87">
        <f t="shared" si="47"/>
        <v>694768.5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1096361.97</v>
      </c>
      <c r="I583" s="87">
        <f t="shared" si="47"/>
        <v>1096361.97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630143.09</v>
      </c>
      <c r="J591" s="18">
        <v>617255.12</v>
      </c>
      <c r="K591" s="104">
        <f t="shared" ref="K591:K597" si="48">SUM(H591:J591)</f>
        <v>1247398.21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275192.95</v>
      </c>
      <c r="J592" s="18">
        <v>193144.83</v>
      </c>
      <c r="K592" s="104">
        <f t="shared" si="48"/>
        <v>468337.78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70189.36</v>
      </c>
      <c r="K593" s="104">
        <f t="shared" si="48"/>
        <v>70189.36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18868.28</v>
      </c>
      <c r="J594" s="18">
        <v>111082.68</v>
      </c>
      <c r="K594" s="104">
        <f t="shared" si="48"/>
        <v>129950.95999999999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924204.32000000007</v>
      </c>
      <c r="J598" s="108">
        <f>SUM(J591:J597)</f>
        <v>991671.99</v>
      </c>
      <c r="K598" s="108">
        <f>SUM(K591:K597)</f>
        <v>1915876.31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357391.51</v>
      </c>
      <c r="J604" s="18">
        <v>174101.17</v>
      </c>
      <c r="K604" s="104">
        <f>SUM(H604:J604)</f>
        <v>531492.68000000005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357391.51</v>
      </c>
      <c r="J605" s="108">
        <f>SUM(J602:J604)</f>
        <v>174101.17</v>
      </c>
      <c r="K605" s="108">
        <f>SUM(K602:K604)</f>
        <v>531492.68000000005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4514408.8899999997</v>
      </c>
      <c r="H617" s="109">
        <f>SUM(F52)</f>
        <v>4514408.8900000006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314608.28000000003</v>
      </c>
      <c r="H618" s="109">
        <f>SUM(G52)</f>
        <v>314608.28000000003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586740.66999999993</v>
      </c>
      <c r="H619" s="109">
        <f>SUM(H52)</f>
        <v>586740.67000000004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1466147.39</v>
      </c>
      <c r="H621" s="109">
        <f>SUM(J52)</f>
        <v>1466147.39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2805795.21</v>
      </c>
      <c r="H622" s="109">
        <f>F476</f>
        <v>2805795.2100000009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279155.94</v>
      </c>
      <c r="H623" s="109">
        <f>G476</f>
        <v>279155.94000000006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531378.24</v>
      </c>
      <c r="H624" s="109">
        <f>H476</f>
        <v>531378.23999999976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1466147.39</v>
      </c>
      <c r="H626" s="109">
        <f>J476</f>
        <v>1466147.3900000001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50131056.859999999</v>
      </c>
      <c r="H627" s="104">
        <f>SUM(F468)</f>
        <v>50131056.859999999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1011340.01</v>
      </c>
      <c r="H628" s="104">
        <f>SUM(G468)</f>
        <v>1011340.01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1376287.25</v>
      </c>
      <c r="H629" s="104">
        <f>SUM(H468)</f>
        <v>1376287.25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64184.11</v>
      </c>
      <c r="H631" s="104">
        <f>SUM(J468)</f>
        <v>64184.11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51675474.190000005</v>
      </c>
      <c r="H632" s="104">
        <f>SUM(F472)</f>
        <v>51675474.189999998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1344448.3699999999</v>
      </c>
      <c r="H633" s="104">
        <f>SUM(H472)</f>
        <v>1344448.37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516068.86</v>
      </c>
      <c r="H634" s="104">
        <f>I369</f>
        <v>516068.86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992529.91</v>
      </c>
      <c r="H635" s="104">
        <f>SUM(G472)</f>
        <v>992529.91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64184.11</v>
      </c>
      <c r="H637" s="164">
        <f>SUM(J468)</f>
        <v>64184.11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447503.3</v>
      </c>
      <c r="H639" s="104">
        <f>SUM(F461)</f>
        <v>447503.3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1018644.09</v>
      </c>
      <c r="H640" s="104">
        <f>SUM(G461)</f>
        <v>1018644.09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1466147.39</v>
      </c>
      <c r="H642" s="104">
        <f>SUM(I461)</f>
        <v>1466147.39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14184.11</v>
      </c>
      <c r="H644" s="104">
        <f>H408</f>
        <v>14184.11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64184.11</v>
      </c>
      <c r="H646" s="104">
        <f>L408</f>
        <v>64184.11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1915876.31</v>
      </c>
      <c r="H647" s="104">
        <f>L208+L226+L244</f>
        <v>1915876.31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531492.68000000005</v>
      </c>
      <c r="H648" s="104">
        <f>(J257+J338)-(J255+J336)</f>
        <v>531492.67999999993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924204.32</v>
      </c>
      <c r="H650" s="104">
        <f>I598</f>
        <v>924204.32000000007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991671.99</v>
      </c>
      <c r="H651" s="104">
        <f>J598</f>
        <v>991671.99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20784645.010000005</v>
      </c>
      <c r="H660" s="19">
        <f>(L247+L328+L360)</f>
        <v>27987795.259999998</v>
      </c>
      <c r="I660" s="19">
        <f>SUM(F660:H660)</f>
        <v>48772440.270000003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269041.51260282483</v>
      </c>
      <c r="H661" s="19">
        <f>(L360/IF(SUM(L358:L360)=0,1,SUM(L358:L360))*(SUM(G97:G110)))</f>
        <v>468981.89739717514</v>
      </c>
      <c r="I661" s="19">
        <f>SUM(F661:H661)</f>
        <v>738023.40999999992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924204.32</v>
      </c>
      <c r="H662" s="19">
        <f>(L244+L325)-(J244+J325)</f>
        <v>991671.99</v>
      </c>
      <c r="I662" s="19">
        <f>SUM(F662:H662)</f>
        <v>1915876.31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1052160.01</v>
      </c>
      <c r="H663" s="199">
        <f>SUM(H575:H587)+SUM(J602:J604)+L613</f>
        <v>1312328.1399999999</v>
      </c>
      <c r="I663" s="19">
        <f>SUM(F663:H663)</f>
        <v>2364488.15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18539239.167397179</v>
      </c>
      <c r="H664" s="19">
        <f>H660-SUM(H661:H663)</f>
        <v>25214813.232602824</v>
      </c>
      <c r="I664" s="19">
        <f>I660-SUM(I661:I663)</f>
        <v>43754052.400000006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1287.1199999999999</v>
      </c>
      <c r="H665" s="248">
        <v>1719.25</v>
      </c>
      <c r="I665" s="19">
        <f>SUM(F665:H665)</f>
        <v>3006.37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14403.66</v>
      </c>
      <c r="H667" s="19">
        <f>ROUND(H664/H665,2)</f>
        <v>14666.17</v>
      </c>
      <c r="I667" s="19">
        <f>ROUND(I664/I665,2)</f>
        <v>14553.78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114.61</v>
      </c>
      <c r="I670" s="19">
        <f>SUM(F670:H670)</f>
        <v>114.61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14403.66</v>
      </c>
      <c r="H672" s="19">
        <f>ROUND((H664+H669)/(H665+H670),2)</f>
        <v>13749.58</v>
      </c>
      <c r="I672" s="19">
        <f>ROUND((I664+I669)/(I665+I670),2)</f>
        <v>14019.33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REGION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13199299.74</v>
      </c>
      <c r="C9" s="229">
        <f>'DOE25'!G197+'DOE25'!G215+'DOE25'!G233+'DOE25'!G276+'DOE25'!G295+'DOE25'!G314</f>
        <v>5392536.1699999999</v>
      </c>
    </row>
    <row r="10" spans="1:3" x14ac:dyDescent="0.2">
      <c r="A10" t="s">
        <v>779</v>
      </c>
      <c r="B10" s="240">
        <v>13048572.390000001</v>
      </c>
      <c r="C10" s="240">
        <v>5330956.9400000004</v>
      </c>
    </row>
    <row r="11" spans="1:3" x14ac:dyDescent="0.2">
      <c r="A11" t="s">
        <v>780</v>
      </c>
      <c r="B11" s="240">
        <v>150727.35</v>
      </c>
      <c r="C11" s="240">
        <v>61579.23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13199299.74</v>
      </c>
      <c r="C13" s="231">
        <f>SUM(C10:C12)</f>
        <v>5392536.1700000009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3677558.5999999996</v>
      </c>
      <c r="C18" s="229">
        <f>'DOE25'!G198+'DOE25'!G216+'DOE25'!G234+'DOE25'!G277+'DOE25'!G296+'DOE25'!G315</f>
        <v>1520555.1600000001</v>
      </c>
    </row>
    <row r="19" spans="1:3" x14ac:dyDescent="0.2">
      <c r="A19" t="s">
        <v>779</v>
      </c>
      <c r="B19" s="240">
        <v>2429394.67</v>
      </c>
      <c r="C19" s="240">
        <v>1006973.14</v>
      </c>
    </row>
    <row r="20" spans="1:3" x14ac:dyDescent="0.2">
      <c r="A20" t="s">
        <v>780</v>
      </c>
      <c r="B20" s="240">
        <v>1248163.93</v>
      </c>
      <c r="C20" s="240">
        <v>513582.02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3677558.5999999996</v>
      </c>
      <c r="C22" s="231">
        <f>SUM(C19:C21)</f>
        <v>1520555.1600000001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1563849.89</v>
      </c>
      <c r="C27" s="234">
        <f>'DOE25'!G199+'DOE25'!G217+'DOE25'!G235+'DOE25'!G278+'DOE25'!G297+'DOE25'!G316</f>
        <v>593440.77999999991</v>
      </c>
    </row>
    <row r="28" spans="1:3" x14ac:dyDescent="0.2">
      <c r="A28" t="s">
        <v>779</v>
      </c>
      <c r="B28" s="240">
        <v>1369301.53</v>
      </c>
      <c r="C28" s="240">
        <v>519614.68</v>
      </c>
    </row>
    <row r="29" spans="1:3" x14ac:dyDescent="0.2">
      <c r="A29" t="s">
        <v>780</v>
      </c>
      <c r="B29" s="240">
        <v>194548.36</v>
      </c>
      <c r="C29" s="240">
        <v>73826.100000000006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1563849.8900000001</v>
      </c>
      <c r="C31" s="231">
        <f>SUM(C28:C30)</f>
        <v>593440.78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575170.27</v>
      </c>
      <c r="C36" s="235">
        <f>'DOE25'!G200+'DOE25'!G218+'DOE25'!G236+'DOE25'!G279+'DOE25'!G298+'DOE25'!G317</f>
        <v>228282.52000000002</v>
      </c>
    </row>
    <row r="37" spans="1:3" x14ac:dyDescent="0.2">
      <c r="A37" t="s">
        <v>779</v>
      </c>
      <c r="B37" s="240">
        <v>575170.27</v>
      </c>
      <c r="C37" s="240">
        <v>228282.52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575170.27</v>
      </c>
      <c r="C40" s="231">
        <f>SUM(C37:C39)</f>
        <v>228282.52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EXETER REGION COOPERATIVE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29983855.910000004</v>
      </c>
      <c r="D5" s="20">
        <f>SUM('DOE25'!L197:L200)+SUM('DOE25'!L215:L218)+SUM('DOE25'!L233:L236)-F5-G5</f>
        <v>29844833.120000001</v>
      </c>
      <c r="E5" s="243"/>
      <c r="F5" s="255">
        <f>SUM('DOE25'!J197:J200)+SUM('DOE25'!J215:J218)+SUM('DOE25'!J233:J236)</f>
        <v>137387.62</v>
      </c>
      <c r="G5" s="53">
        <f>SUM('DOE25'!K197:K200)+SUM('DOE25'!K215:K218)+SUM('DOE25'!K233:K236)</f>
        <v>1635.17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3756949.6100000003</v>
      </c>
      <c r="D6" s="20">
        <f>'DOE25'!L202+'DOE25'!L220+'DOE25'!L238-F6-G6</f>
        <v>3756949.6100000003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2327771.44</v>
      </c>
      <c r="D7" s="20">
        <f>'DOE25'!L203+'DOE25'!L221+'DOE25'!L239-F7-G7</f>
        <v>1936707.89</v>
      </c>
      <c r="E7" s="243"/>
      <c r="F7" s="255">
        <f>'DOE25'!J203+'DOE25'!J221+'DOE25'!J239</f>
        <v>376848.55</v>
      </c>
      <c r="G7" s="53">
        <f>'DOE25'!K203+'DOE25'!K221+'DOE25'!K239</f>
        <v>14215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1107809.1599999999</v>
      </c>
      <c r="D8" s="243"/>
      <c r="E8" s="20">
        <f>'DOE25'!L204+'DOE25'!L222+'DOE25'!L240-F8-G8-D9-D11</f>
        <v>1107809.1599999999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49299.76</v>
      </c>
      <c r="D9" s="244">
        <v>49299.76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20450</v>
      </c>
      <c r="D10" s="243"/>
      <c r="E10" s="244">
        <v>20450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156776.04</v>
      </c>
      <c r="D11" s="244">
        <v>156776.04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2108276.08</v>
      </c>
      <c r="D12" s="20">
        <f>'DOE25'!L205+'DOE25'!L223+'DOE25'!L241-F12-G12</f>
        <v>2085303.03</v>
      </c>
      <c r="E12" s="243"/>
      <c r="F12" s="255">
        <f>'DOE25'!J205+'DOE25'!J223+'DOE25'!J241</f>
        <v>4231</v>
      </c>
      <c r="G12" s="53">
        <f>'DOE25'!K205+'DOE25'!K223+'DOE25'!K241</f>
        <v>18742.05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5383101.8399999999</v>
      </c>
      <c r="D14" s="20">
        <f>'DOE25'!L207+'DOE25'!L225+'DOE25'!L243-F14-G14</f>
        <v>5373342.0499999998</v>
      </c>
      <c r="E14" s="243"/>
      <c r="F14" s="255">
        <f>'DOE25'!J207+'DOE25'!J225+'DOE25'!J243</f>
        <v>9759.7900000000009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1915876.31</v>
      </c>
      <c r="D15" s="20">
        <f>'DOE25'!L208+'DOE25'!L226+'DOE25'!L244-F15-G15</f>
        <v>1915876.31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124480.04000000001</v>
      </c>
      <c r="D17" s="20">
        <f>'DOE25'!L251-F17-G17</f>
        <v>124480.04000000001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4431278</v>
      </c>
      <c r="D25" s="243"/>
      <c r="E25" s="243"/>
      <c r="F25" s="258"/>
      <c r="G25" s="256"/>
      <c r="H25" s="257">
        <f>'DOE25'!L260+'DOE25'!L261+'DOE25'!L341+'DOE25'!L342</f>
        <v>4431278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552846.00000000012</v>
      </c>
      <c r="D29" s="20">
        <f>'DOE25'!L358+'DOE25'!L359+'DOE25'!L360-'DOE25'!I367-F29-G29</f>
        <v>500014.47000000003</v>
      </c>
      <c r="E29" s="243"/>
      <c r="F29" s="255">
        <f>'DOE25'!J358+'DOE25'!J359+'DOE25'!J360</f>
        <v>51752.490000000005</v>
      </c>
      <c r="G29" s="53">
        <f>'DOE25'!K358+'DOE25'!K359+'DOE25'!K360</f>
        <v>1079.04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1344448.3699999999</v>
      </c>
      <c r="D31" s="20">
        <f>'DOE25'!L290+'DOE25'!L309+'DOE25'!L328+'DOE25'!L333+'DOE25'!L334+'DOE25'!L335-F31-G31</f>
        <v>451414.5399999998</v>
      </c>
      <c r="E31" s="243"/>
      <c r="F31" s="255">
        <f>'DOE25'!J290+'DOE25'!J309+'DOE25'!J328+'DOE25'!J333+'DOE25'!J334+'DOE25'!J335</f>
        <v>3265.72</v>
      </c>
      <c r="G31" s="53">
        <f>'DOE25'!K290+'DOE25'!K309+'DOE25'!K328+'DOE25'!K333+'DOE25'!K334+'DOE25'!K335</f>
        <v>889768.1100000001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46194996.859999999</v>
      </c>
      <c r="E33" s="246">
        <f>SUM(E5:E31)</f>
        <v>1128259.1599999999</v>
      </c>
      <c r="F33" s="246">
        <f>SUM(F5:F31)</f>
        <v>583245.16999999993</v>
      </c>
      <c r="G33" s="246">
        <f>SUM(G5:G31)</f>
        <v>925439.37000000011</v>
      </c>
      <c r="H33" s="246">
        <f>SUM(H5:H31)</f>
        <v>4431278</v>
      </c>
    </row>
    <row r="35" spans="2:8" ht="12" thickBot="1" x14ac:dyDescent="0.25">
      <c r="B35" s="253" t="s">
        <v>847</v>
      </c>
      <c r="D35" s="254">
        <f>E33</f>
        <v>1128259.1599999999</v>
      </c>
      <c r="E35" s="249"/>
    </row>
    <row r="36" spans="2:8" ht="12" thickTop="1" x14ac:dyDescent="0.2">
      <c r="B36" t="s">
        <v>815</v>
      </c>
      <c r="D36" s="20">
        <f>D33</f>
        <v>46194996.859999999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436907.51</v>
      </c>
      <c r="D8" s="95">
        <f>'DOE25'!G9</f>
        <v>0</v>
      </c>
      <c r="E8" s="95">
        <f>'DOE25'!H9</f>
        <v>357075.66</v>
      </c>
      <c r="F8" s="95">
        <f>'DOE25'!I9</f>
        <v>0</v>
      </c>
      <c r="G8" s="95">
        <f>'DOE25'!J9</f>
        <v>1466147.39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3099953.07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47585.89</v>
      </c>
      <c r="D11" s="95">
        <f>'DOE25'!G12</f>
        <v>286264.5</v>
      </c>
      <c r="E11" s="95">
        <f>'DOE25'!H12</f>
        <v>181136.76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232975.74</v>
      </c>
      <c r="D12" s="95">
        <f>'DOE25'!G13</f>
        <v>24783.78</v>
      </c>
      <c r="E12" s="95">
        <f>'DOE25'!H13</f>
        <v>48160.89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27463.88</v>
      </c>
      <c r="D13" s="95">
        <f>'DOE25'!G14</f>
        <v>3560</v>
      </c>
      <c r="E13" s="95">
        <f>'DOE25'!H14</f>
        <v>367.36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669522.80000000005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4514408.8899999997</v>
      </c>
      <c r="D18" s="41">
        <f>SUM(D8:D17)</f>
        <v>314608.28000000003</v>
      </c>
      <c r="E18" s="41">
        <f>SUM(E8:E17)</f>
        <v>586740.66999999993</v>
      </c>
      <c r="F18" s="41">
        <f>SUM(F8:F17)</f>
        <v>0</v>
      </c>
      <c r="G18" s="41">
        <f>SUM(G8:G17)</f>
        <v>1466147.39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467401.26</v>
      </c>
      <c r="D21" s="95">
        <f>'DOE25'!G22</f>
        <v>0</v>
      </c>
      <c r="E21" s="95">
        <f>'DOE25'!H22</f>
        <v>47585.89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1035687.24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133931.04999999999</v>
      </c>
      <c r="D23" s="95">
        <f>'DOE25'!G24</f>
        <v>0</v>
      </c>
      <c r="E23" s="95">
        <f>'DOE25'!H24</f>
        <v>891.54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29575.83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5950</v>
      </c>
      <c r="D29" s="95">
        <f>'DOE25'!G30</f>
        <v>33952.339999999997</v>
      </c>
      <c r="E29" s="95">
        <f>'DOE25'!H30</f>
        <v>6885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36068.300000000003</v>
      </c>
      <c r="D30" s="95">
        <f>'DOE25'!G31</f>
        <v>1500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1708613.6800000002</v>
      </c>
      <c r="D31" s="41">
        <f>SUM(D21:D30)</f>
        <v>35452.339999999997</v>
      </c>
      <c r="E31" s="41">
        <f>SUM(E21:E30)</f>
        <v>55362.43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279155.94</v>
      </c>
      <c r="E47" s="95">
        <f>'DOE25'!H48</f>
        <v>531378.24</v>
      </c>
      <c r="F47" s="95">
        <f>'DOE25'!I48</f>
        <v>0</v>
      </c>
      <c r="G47" s="95">
        <f>'DOE25'!J48</f>
        <v>1466147.39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955531.26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1800263.95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2805795.21</v>
      </c>
      <c r="D50" s="41">
        <f>SUM(D34:D49)</f>
        <v>279155.94</v>
      </c>
      <c r="E50" s="41">
        <f>SUM(E34:E49)</f>
        <v>531378.24</v>
      </c>
      <c r="F50" s="41">
        <f>SUM(F34:F49)</f>
        <v>0</v>
      </c>
      <c r="G50" s="41">
        <f>SUM(G34:G49)</f>
        <v>1466147.39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4514408.8900000006</v>
      </c>
      <c r="D51" s="41">
        <f>D50+D31</f>
        <v>314608.28000000003</v>
      </c>
      <c r="E51" s="41">
        <f>E50+E31</f>
        <v>586740.67000000004</v>
      </c>
      <c r="F51" s="41">
        <f>F50+F31</f>
        <v>0</v>
      </c>
      <c r="G51" s="41">
        <f>G50+G31</f>
        <v>1466147.39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33175768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946293.89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10466.27</v>
      </c>
      <c r="D59" s="95">
        <f>'DOE25'!G96</f>
        <v>68.5</v>
      </c>
      <c r="E59" s="95">
        <f>'DOE25'!H96</f>
        <v>0</v>
      </c>
      <c r="F59" s="95">
        <f>'DOE25'!I96</f>
        <v>0</v>
      </c>
      <c r="G59" s="95">
        <f>'DOE25'!J96</f>
        <v>14184.11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648238.37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503164.35</v>
      </c>
      <c r="D61" s="95">
        <f>SUM('DOE25'!G98:G110)</f>
        <v>89785.04</v>
      </c>
      <c r="E61" s="95">
        <f>SUM('DOE25'!H98:H110)</f>
        <v>1031244.26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1459924.51</v>
      </c>
      <c r="D62" s="130">
        <f>SUM(D57:D61)</f>
        <v>738091.91</v>
      </c>
      <c r="E62" s="130">
        <f>SUM(E57:E61)</f>
        <v>1031244.26</v>
      </c>
      <c r="F62" s="130">
        <f>SUM(F57:F61)</f>
        <v>0</v>
      </c>
      <c r="G62" s="130">
        <f>SUM(G57:G61)</f>
        <v>14184.11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34635692.509999998</v>
      </c>
      <c r="D63" s="22">
        <f>D56+D62</f>
        <v>738091.91</v>
      </c>
      <c r="E63" s="22">
        <f>E56+E62</f>
        <v>1031244.26</v>
      </c>
      <c r="F63" s="22">
        <f>F56+F62</f>
        <v>0</v>
      </c>
      <c r="G63" s="22">
        <f>G56+G62</f>
        <v>14184.11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6104767.0199999996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5890179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2314.84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11997260.859999999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1486872.56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646155.27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1096134.44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9172.2900000000009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3229162.27</v>
      </c>
      <c r="D78" s="130">
        <f>SUM(D72:D77)</f>
        <v>9172.2900000000009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15226423.129999999</v>
      </c>
      <c r="D81" s="130">
        <f>SUM(D79:D80)+D78+D70</f>
        <v>9172.2900000000009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268941.21999999997</v>
      </c>
      <c r="D88" s="95">
        <f>SUM('DOE25'!G153:G161)</f>
        <v>264075.81</v>
      </c>
      <c r="E88" s="95">
        <f>SUM('DOE25'!H153:H161)</f>
        <v>345042.99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268941.21999999997</v>
      </c>
      <c r="D91" s="131">
        <f>SUM(D85:D90)</f>
        <v>264075.81</v>
      </c>
      <c r="E91" s="131">
        <f>SUM(E85:E90)</f>
        <v>345042.99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50131056.859999999</v>
      </c>
      <c r="D104" s="86">
        <f>D63+D81+D91+D103</f>
        <v>1011340.01</v>
      </c>
      <c r="E104" s="86">
        <f>E63+E81+E91+E103</f>
        <v>1376287.25</v>
      </c>
      <c r="F104" s="86">
        <f>F63+F81+F91+F103</f>
        <v>0</v>
      </c>
      <c r="G104" s="86">
        <f>G63+G81+G103</f>
        <v>64184.11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19128686.330000002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7493147.2599999998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2323565.3299999996</v>
      </c>
      <c r="D111" s="24" t="s">
        <v>289</v>
      </c>
      <c r="E111" s="95">
        <f>('DOE25'!L278)+('DOE25'!L297)+('DOE25'!L316)</f>
        <v>101569.45999999999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1038456.99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124480.04000000001</v>
      </c>
      <c r="D114" s="24" t="s">
        <v>289</v>
      </c>
      <c r="E114" s="95">
        <f>+ SUM('DOE25'!L333:L335)</f>
        <v>354254.15999999992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30108335.949999999</v>
      </c>
      <c r="D115" s="86">
        <f>SUM(D109:D114)</f>
        <v>0</v>
      </c>
      <c r="E115" s="86">
        <f>SUM(E109:E114)</f>
        <v>455823.61999999988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3756949.6100000003</v>
      </c>
      <c r="D118" s="24" t="s">
        <v>289</v>
      </c>
      <c r="E118" s="95">
        <f>+('DOE25'!L281)+('DOE25'!L300)+('DOE25'!L319)</f>
        <v>888624.75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2327771.44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1313884.96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2108276.08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5383101.8399999999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1915876.31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992529.91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16805860.239999998</v>
      </c>
      <c r="D128" s="86">
        <f>SUM(D118:D127)</f>
        <v>992529.91</v>
      </c>
      <c r="E128" s="86">
        <f>SUM(E118:E127)</f>
        <v>888624.75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2309977.41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2121300.59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54101.440000000002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10082.67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-14184.11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280000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4761278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51675474.189999998</v>
      </c>
      <c r="D145" s="86">
        <f>(D115+D128+D144)</f>
        <v>992529.91</v>
      </c>
      <c r="E145" s="86">
        <f>(E115+E128+E144)</f>
        <v>1344448.3699999999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1/97</v>
      </c>
      <c r="C152" s="152" t="str">
        <f>'DOE25'!G491</f>
        <v>8/03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1/15/17</v>
      </c>
      <c r="C153" s="152" t="str">
        <f>'DOE25'!G492</f>
        <v>8/15/23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15600000</v>
      </c>
      <c r="C154" s="137">
        <f>'DOE25'!G493</f>
        <v>42695000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5.46</v>
      </c>
      <c r="C155" s="137">
        <f>'DOE25'!G494</f>
        <v>3.7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832324.21</v>
      </c>
      <c r="C156" s="137">
        <f>'DOE25'!G495</f>
        <v>14244281.41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15076605.620000001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428448.16</v>
      </c>
      <c r="C158" s="137">
        <f>'DOE25'!G497</f>
        <v>1881529.25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2309977.41</v>
      </c>
    </row>
    <row r="159" spans="1:9" x14ac:dyDescent="0.2">
      <c r="A159" s="22" t="s">
        <v>35</v>
      </c>
      <c r="B159" s="137">
        <f>'DOE25'!F498</f>
        <v>403876.05</v>
      </c>
      <c r="C159" s="137">
        <f>'DOE25'!G498</f>
        <v>12362752.16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12766628.210000001</v>
      </c>
    </row>
    <row r="160" spans="1:9" x14ac:dyDescent="0.2">
      <c r="A160" s="22" t="s">
        <v>36</v>
      </c>
      <c r="B160" s="137">
        <f>'DOE25'!F499</f>
        <v>904323.95</v>
      </c>
      <c r="C160" s="137">
        <f>'DOE25'!G499</f>
        <v>13659746.939999999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14564070.889999999</v>
      </c>
    </row>
    <row r="161" spans="1:7" x14ac:dyDescent="0.2">
      <c r="A161" s="22" t="s">
        <v>37</v>
      </c>
      <c r="B161" s="137">
        <f>'DOE25'!F500</f>
        <v>1308200</v>
      </c>
      <c r="C161" s="137">
        <f>'DOE25'!G500</f>
        <v>26022499.100000001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27330699.100000001</v>
      </c>
    </row>
    <row r="162" spans="1:7" x14ac:dyDescent="0.2">
      <c r="A162" s="22" t="s">
        <v>38</v>
      </c>
      <c r="B162" s="137">
        <f>'DOE25'!F501</f>
        <v>403876.05</v>
      </c>
      <c r="C162" s="137">
        <f>'DOE25'!G501</f>
        <v>1800925.92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2204801.9699999997</v>
      </c>
    </row>
    <row r="163" spans="1:7" x14ac:dyDescent="0.2">
      <c r="A163" s="22" t="s">
        <v>39</v>
      </c>
      <c r="B163" s="137">
        <f>'DOE25'!F502</f>
        <v>904323.95</v>
      </c>
      <c r="C163" s="137">
        <f>'DOE25'!G502</f>
        <v>1452549.08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2356873.0300000003</v>
      </c>
    </row>
    <row r="164" spans="1:7" x14ac:dyDescent="0.2">
      <c r="A164" s="22" t="s">
        <v>246</v>
      </c>
      <c r="B164" s="137">
        <f>'DOE25'!F503</f>
        <v>1308200</v>
      </c>
      <c r="C164" s="137">
        <f>'DOE25'!G503</f>
        <v>3253475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4561675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EXETER REGION COOPERATIVE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14404</v>
      </c>
    </row>
    <row r="6" spans="1:4" x14ac:dyDescent="0.2">
      <c r="B6" t="s">
        <v>62</v>
      </c>
      <c r="C6" s="179">
        <f>IF('DOE25'!H665+'DOE25'!H670=0,0,ROUND('DOE25'!H672,0))</f>
        <v>13750</v>
      </c>
    </row>
    <row r="7" spans="1:4" x14ac:dyDescent="0.2">
      <c r="B7" t="s">
        <v>705</v>
      </c>
      <c r="C7" s="179">
        <f>IF('DOE25'!I665+'DOE25'!I670=0,0,ROUND('DOE25'!I672,0))</f>
        <v>14019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19128686</v>
      </c>
      <c r="D10" s="182">
        <f>ROUND((C10/$C$28)*100,1)</f>
        <v>37.6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7493147</v>
      </c>
      <c r="D11" s="182">
        <f>ROUND((C11/$C$28)*100,1)</f>
        <v>14.7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2425135</v>
      </c>
      <c r="D12" s="182">
        <f>ROUND((C12/$C$28)*100,1)</f>
        <v>4.8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1038457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4645574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2327771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1313885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2108276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5383102</v>
      </c>
      <c r="D20" s="182">
        <f t="shared" si="0"/>
        <v>10.6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1915876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478734</v>
      </c>
      <c r="D24" s="182">
        <f t="shared" si="0"/>
        <v>0.9</v>
      </c>
    </row>
    <row r="25" spans="1:4" x14ac:dyDescent="0.2">
      <c r="A25">
        <v>5120</v>
      </c>
      <c r="B25" t="s">
        <v>720</v>
      </c>
      <c r="C25" s="179">
        <f>ROUND('DOE25'!L261+'DOE25'!L342,0)</f>
        <v>2121301</v>
      </c>
      <c r="D25" s="182">
        <f t="shared" si="0"/>
        <v>4.2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280000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254506.58999999997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50914450.590000004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50914450.590000004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2309977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33175768</v>
      </c>
      <c r="D35" s="182">
        <f t="shared" ref="D35:D40" si="1">ROUND((C35/$C$41)*100,1)</f>
        <v>64.099999999999994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2505421.3799999952</v>
      </c>
      <c r="D36" s="182">
        <f t="shared" si="1"/>
        <v>4.8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11994946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3240649</v>
      </c>
      <c r="D38" s="182">
        <f t="shared" si="1"/>
        <v>6.3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878060</v>
      </c>
      <c r="D39" s="182">
        <f t="shared" si="1"/>
        <v>1.7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51794844.379999995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EXETER REGION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2016-09-06T16:24:07Z</cp:lastPrinted>
  <dcterms:created xsi:type="dcterms:W3CDTF">1997-12-04T19:04:30Z</dcterms:created>
  <dcterms:modified xsi:type="dcterms:W3CDTF">2016-11-29T14:40:22Z</dcterms:modified>
</cp:coreProperties>
</file>