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0" yWindow="0" windowWidth="28800" windowHeight="1221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198" i="1" l="1"/>
  <c r="H234" i="1"/>
  <c r="H591" i="1" l="1"/>
  <c r="J591" i="1"/>
  <c r="J592" i="1"/>
  <c r="H592" i="1"/>
  <c r="F468" i="1"/>
  <c r="F44" i="1"/>
  <c r="F24" i="1"/>
  <c r="F13" i="1" l="1"/>
  <c r="G158" i="1"/>
  <c r="G179" i="1"/>
  <c r="F472" i="1"/>
  <c r="K263" i="1"/>
  <c r="F521" i="1" l="1"/>
  <c r="G531" i="1"/>
  <c r="G533" i="1" s="1"/>
  <c r="F533" i="1"/>
  <c r="F531" i="1"/>
  <c r="F526" i="1" l="1"/>
  <c r="H528" i="1"/>
  <c r="H526" i="1"/>
  <c r="G526" i="1"/>
  <c r="H523" i="1"/>
  <c r="G523" i="1"/>
  <c r="F523" i="1"/>
  <c r="H521" i="1"/>
  <c r="G521" i="1"/>
  <c r="C10" i="12" l="1"/>
  <c r="B10" i="12"/>
  <c r="H204" i="1" l="1"/>
  <c r="F9" i="1" l="1"/>
  <c r="J468" i="1" l="1"/>
  <c r="G440" i="1" l="1"/>
  <c r="H400" i="1"/>
  <c r="F499" i="1" l="1"/>
  <c r="F498" i="1"/>
  <c r="H48" i="1" l="1"/>
  <c r="H368" i="1"/>
  <c r="F367" i="1"/>
  <c r="I360" i="1"/>
  <c r="I358" i="1"/>
  <c r="H282" i="1" l="1"/>
  <c r="G323" i="1"/>
  <c r="H242" i="1" l="1"/>
  <c r="H206" i="1"/>
  <c r="K261" i="1" l="1"/>
  <c r="K260" i="1"/>
  <c r="H255" i="1"/>
  <c r="H244" i="1"/>
  <c r="H243" i="1"/>
  <c r="H241" i="1"/>
  <c r="G239" i="1"/>
  <c r="F239" i="1"/>
  <c r="I238" i="1"/>
  <c r="H238" i="1"/>
  <c r="G238" i="1"/>
  <c r="F238" i="1"/>
  <c r="H236" i="1"/>
  <c r="H235" i="1"/>
  <c r="H233" i="1"/>
  <c r="H208" i="1"/>
  <c r="H207" i="1"/>
  <c r="H205" i="1"/>
  <c r="I203" i="1"/>
  <c r="H203" i="1"/>
  <c r="G203" i="1"/>
  <c r="F203" i="1"/>
  <c r="I202" i="1"/>
  <c r="H202" i="1"/>
  <c r="G202" i="1"/>
  <c r="F202" i="1"/>
  <c r="H200" i="1"/>
  <c r="G198" i="1"/>
  <c r="F198" i="1"/>
  <c r="H197" i="1"/>
  <c r="F185" i="1" l="1"/>
  <c r="H472" i="1"/>
  <c r="F469" i="1"/>
  <c r="H102" i="1"/>
  <c r="F17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C112" i="2" s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G649" i="1" s="1"/>
  <c r="L226" i="1"/>
  <c r="L244" i="1"/>
  <c r="F17" i="13"/>
  <c r="G17" i="13"/>
  <c r="D17" i="13" s="1"/>
  <c r="C17" i="13" s="1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G662" i="1" s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5" i="1"/>
  <c r="L260" i="1"/>
  <c r="L261" i="1"/>
  <c r="L341" i="1"/>
  <c r="C32" i="10" s="1"/>
  <c r="L342" i="1"/>
  <c r="L255" i="1"/>
  <c r="L336" i="1"/>
  <c r="E130" i="2" s="1"/>
  <c r="C11" i="13"/>
  <c r="C10" i="13"/>
  <c r="C9" i="13"/>
  <c r="L361" i="1"/>
  <c r="B4" i="12"/>
  <c r="B36" i="12"/>
  <c r="C36" i="12"/>
  <c r="B40" i="12"/>
  <c r="C40" i="12"/>
  <c r="A40" i="12" s="1"/>
  <c r="B27" i="12"/>
  <c r="C27" i="12"/>
  <c r="B31" i="12"/>
  <c r="C31" i="12"/>
  <c r="A31" i="12" s="1"/>
  <c r="B9" i="12"/>
  <c r="B13" i="12"/>
  <c r="C9" i="12"/>
  <c r="C13" i="12"/>
  <c r="B18" i="12"/>
  <c r="B22" i="12"/>
  <c r="C18" i="12"/>
  <c r="C22" i="12"/>
  <c r="B1" i="12"/>
  <c r="L387" i="1"/>
  <c r="L388" i="1"/>
  <c r="L389" i="1"/>
  <c r="L393" i="1" s="1"/>
  <c r="C138" i="2" s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C58" i="2" s="1"/>
  <c r="F111" i="1"/>
  <c r="G111" i="1"/>
  <c r="H79" i="1"/>
  <c r="E57" i="2" s="1"/>
  <c r="H94" i="1"/>
  <c r="H112" i="1" s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40" i="1" s="1"/>
  <c r="J136" i="1"/>
  <c r="F147" i="1"/>
  <c r="F162" i="1"/>
  <c r="G147" i="1"/>
  <c r="D85" i="2" s="1"/>
  <c r="G162" i="1"/>
  <c r="H147" i="1"/>
  <c r="H162" i="1"/>
  <c r="I147" i="1"/>
  <c r="I169" i="1" s="1"/>
  <c r="I162" i="1"/>
  <c r="L250" i="1"/>
  <c r="L332" i="1"/>
  <c r="L254" i="1"/>
  <c r="L268" i="1"/>
  <c r="C142" i="2" s="1"/>
  <c r="L269" i="1"/>
  <c r="L349" i="1"/>
  <c r="L350" i="1"/>
  <c r="E143" i="2" s="1"/>
  <c r="I665" i="1"/>
  <c r="I670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I552" i="1" s="1"/>
  <c r="L538" i="1"/>
  <c r="I551" i="1" s="1"/>
  <c r="L541" i="1"/>
  <c r="J549" i="1" s="1"/>
  <c r="L543" i="1"/>
  <c r="J551" i="1" s="1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D18" i="2" s="1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E78" i="2" s="1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E103" i="2" s="1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2" i="2"/>
  <c r="C113" i="2"/>
  <c r="E113" i="2"/>
  <c r="C114" i="2"/>
  <c r="D115" i="2"/>
  <c r="F115" i="2"/>
  <c r="G115" i="2"/>
  <c r="E121" i="2"/>
  <c r="E123" i="2"/>
  <c r="C125" i="2"/>
  <c r="E125" i="2"/>
  <c r="F128" i="2"/>
  <c r="G128" i="2"/>
  <c r="C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G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H32" i="1"/>
  <c r="I32" i="1"/>
  <c r="G52" i="1"/>
  <c r="H618" i="1" s="1"/>
  <c r="H51" i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H192" i="1" s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G641" i="1" s="1"/>
  <c r="F452" i="1"/>
  <c r="G452" i="1"/>
  <c r="H452" i="1"/>
  <c r="I452" i="1"/>
  <c r="F460" i="1"/>
  <c r="G460" i="1"/>
  <c r="H460" i="1"/>
  <c r="F461" i="1"/>
  <c r="H639" i="1" s="1"/>
  <c r="G461" i="1"/>
  <c r="H461" i="1"/>
  <c r="F470" i="1"/>
  <c r="G470" i="1"/>
  <c r="H470" i="1"/>
  <c r="I470" i="1"/>
  <c r="I476" i="1" s="1"/>
  <c r="H625" i="1" s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70" i="1" s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5" i="1" s="1"/>
  <c r="G648" i="1" s="1"/>
  <c r="K603" i="1"/>
  <c r="K604" i="1"/>
  <c r="H605" i="1"/>
  <c r="I605" i="1"/>
  <c r="J605" i="1"/>
  <c r="F614" i="1"/>
  <c r="G614" i="1"/>
  <c r="H614" i="1"/>
  <c r="I614" i="1"/>
  <c r="J614" i="1"/>
  <c r="K614" i="1"/>
  <c r="G622" i="1"/>
  <c r="G623" i="1"/>
  <c r="G624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40" i="1"/>
  <c r="H641" i="1"/>
  <c r="G643" i="1"/>
  <c r="H643" i="1"/>
  <c r="J643" i="1" s="1"/>
  <c r="G644" i="1"/>
  <c r="G650" i="1"/>
  <c r="G652" i="1"/>
  <c r="H652" i="1"/>
  <c r="G653" i="1"/>
  <c r="H653" i="1"/>
  <c r="G654" i="1"/>
  <c r="H654" i="1"/>
  <c r="H655" i="1"/>
  <c r="F192" i="1"/>
  <c r="D62" i="2"/>
  <c r="G62" i="2"/>
  <c r="L419" i="1"/>
  <c r="H140" i="1"/>
  <c r="F22" i="13"/>
  <c r="C22" i="13" s="1"/>
  <c r="G36" i="2"/>
  <c r="F476" i="1" l="1"/>
  <c r="H622" i="1" s="1"/>
  <c r="C35" i="10"/>
  <c r="C36" i="10" s="1"/>
  <c r="K571" i="1"/>
  <c r="L565" i="1"/>
  <c r="H571" i="1"/>
  <c r="L560" i="1"/>
  <c r="J640" i="1"/>
  <c r="H52" i="1"/>
  <c r="H619" i="1" s="1"/>
  <c r="C91" i="2"/>
  <c r="F85" i="2"/>
  <c r="F91" i="2" s="1"/>
  <c r="F104" i="2" s="1"/>
  <c r="D81" i="2"/>
  <c r="H169" i="1"/>
  <c r="F169" i="1"/>
  <c r="J655" i="1"/>
  <c r="D91" i="2"/>
  <c r="E118" i="2"/>
  <c r="J641" i="1"/>
  <c r="K500" i="1"/>
  <c r="L256" i="1"/>
  <c r="G81" i="2"/>
  <c r="D31" i="2"/>
  <c r="E31" i="2"/>
  <c r="F18" i="2"/>
  <c r="G112" i="1"/>
  <c r="E124" i="2"/>
  <c r="E120" i="2"/>
  <c r="D19" i="13"/>
  <c r="C19" i="13" s="1"/>
  <c r="H662" i="1"/>
  <c r="L229" i="1"/>
  <c r="E16" i="13"/>
  <c r="C16" i="13" s="1"/>
  <c r="L309" i="1"/>
  <c r="D63" i="2"/>
  <c r="I571" i="1"/>
  <c r="J571" i="1"/>
  <c r="F571" i="1"/>
  <c r="L433" i="1"/>
  <c r="L427" i="1"/>
  <c r="J644" i="1"/>
  <c r="G164" i="2"/>
  <c r="G156" i="2"/>
  <c r="F78" i="2"/>
  <c r="F81" i="2" s="1"/>
  <c r="E119" i="2"/>
  <c r="E110" i="2"/>
  <c r="L270" i="1"/>
  <c r="L534" i="1"/>
  <c r="G545" i="1"/>
  <c r="H552" i="1"/>
  <c r="J545" i="1"/>
  <c r="H545" i="1"/>
  <c r="G552" i="1"/>
  <c r="K551" i="1"/>
  <c r="I545" i="1"/>
  <c r="K549" i="1"/>
  <c r="L524" i="1"/>
  <c r="F552" i="1"/>
  <c r="K598" i="1"/>
  <c r="G647" i="1" s="1"/>
  <c r="J649" i="1"/>
  <c r="J476" i="1"/>
  <c r="H626" i="1" s="1"/>
  <c r="I460" i="1"/>
  <c r="I461" i="1" s="1"/>
  <c r="H642" i="1" s="1"/>
  <c r="I446" i="1"/>
  <c r="G642" i="1" s="1"/>
  <c r="J639" i="1"/>
  <c r="L401" i="1"/>
  <c r="C139" i="2" s="1"/>
  <c r="G157" i="2"/>
  <c r="G645" i="1"/>
  <c r="J645" i="1" s="1"/>
  <c r="J634" i="1"/>
  <c r="F130" i="2"/>
  <c r="F144" i="2" s="1"/>
  <c r="F145" i="2" s="1"/>
  <c r="F661" i="1"/>
  <c r="H661" i="1"/>
  <c r="D29" i="13"/>
  <c r="C29" i="13" s="1"/>
  <c r="G661" i="1"/>
  <c r="L362" i="1"/>
  <c r="C27" i="10" s="1"/>
  <c r="E131" i="2"/>
  <c r="L351" i="1"/>
  <c r="E132" i="2"/>
  <c r="E144" i="2" s="1"/>
  <c r="C25" i="10"/>
  <c r="C29" i="10"/>
  <c r="L328" i="1"/>
  <c r="E122" i="2"/>
  <c r="E128" i="2" s="1"/>
  <c r="E111" i="2"/>
  <c r="H338" i="1"/>
  <c r="H352" i="1" s="1"/>
  <c r="G338" i="1"/>
  <c r="G352" i="1" s="1"/>
  <c r="E109" i="2"/>
  <c r="F338" i="1"/>
  <c r="F352" i="1" s="1"/>
  <c r="C19" i="10"/>
  <c r="J338" i="1"/>
  <c r="J352" i="1" s="1"/>
  <c r="C17" i="10"/>
  <c r="G651" i="1"/>
  <c r="J651" i="1" s="1"/>
  <c r="C21" i="10"/>
  <c r="C123" i="2"/>
  <c r="C121" i="2"/>
  <c r="C16" i="10"/>
  <c r="C118" i="2"/>
  <c r="C13" i="10"/>
  <c r="C12" i="10"/>
  <c r="C110" i="2"/>
  <c r="K257" i="1"/>
  <c r="K271" i="1" s="1"/>
  <c r="J257" i="1"/>
  <c r="J271" i="1" s="1"/>
  <c r="I257" i="1"/>
  <c r="I271" i="1" s="1"/>
  <c r="H257" i="1"/>
  <c r="H271" i="1" s="1"/>
  <c r="L247" i="1"/>
  <c r="G257" i="1"/>
  <c r="G271" i="1" s="1"/>
  <c r="F257" i="1"/>
  <c r="F271" i="1" s="1"/>
  <c r="C10" i="10"/>
  <c r="D15" i="13"/>
  <c r="C15" i="13" s="1"/>
  <c r="C20" i="10"/>
  <c r="D14" i="13"/>
  <c r="C14" i="13" s="1"/>
  <c r="C122" i="2"/>
  <c r="C18" i="10"/>
  <c r="C120" i="2"/>
  <c r="E8" i="13"/>
  <c r="C8" i="13" s="1"/>
  <c r="C119" i="2"/>
  <c r="D7" i="13"/>
  <c r="C7" i="13" s="1"/>
  <c r="D6" i="13"/>
  <c r="C6" i="13" s="1"/>
  <c r="C11" i="10"/>
  <c r="D5" i="13"/>
  <c r="C5" i="13" s="1"/>
  <c r="L211" i="1"/>
  <c r="A13" i="12"/>
  <c r="C109" i="2"/>
  <c r="C70" i="2"/>
  <c r="H476" i="1"/>
  <c r="H624" i="1" s="1"/>
  <c r="J624" i="1" s="1"/>
  <c r="G476" i="1"/>
  <c r="H623" i="1" s="1"/>
  <c r="J623" i="1" s="1"/>
  <c r="E62" i="2"/>
  <c r="E63" i="2" s="1"/>
  <c r="C78" i="2"/>
  <c r="F112" i="1"/>
  <c r="J622" i="1"/>
  <c r="J617" i="1"/>
  <c r="C18" i="2"/>
  <c r="E13" i="13"/>
  <c r="C13" i="13" s="1"/>
  <c r="D12" i="13"/>
  <c r="C12" i="13" s="1"/>
  <c r="L290" i="1"/>
  <c r="C26" i="10"/>
  <c r="L539" i="1"/>
  <c r="K503" i="1"/>
  <c r="L382" i="1"/>
  <c r="G636" i="1" s="1"/>
  <c r="J636" i="1" s="1"/>
  <c r="C62" i="2"/>
  <c r="C15" i="10"/>
  <c r="D127" i="2"/>
  <c r="D128" i="2" s="1"/>
  <c r="D145" i="2" s="1"/>
  <c r="C124" i="2"/>
  <c r="C111" i="2"/>
  <c r="C56" i="2"/>
  <c r="F662" i="1"/>
  <c r="I662" i="1" s="1"/>
  <c r="H25" i="13"/>
  <c r="E81" i="2"/>
  <c r="H647" i="1"/>
  <c r="G625" i="1"/>
  <c r="J625" i="1" s="1"/>
  <c r="L614" i="1"/>
  <c r="L529" i="1"/>
  <c r="F62" i="2"/>
  <c r="F63" i="2" s="1"/>
  <c r="C23" i="10"/>
  <c r="G163" i="2"/>
  <c r="G162" i="2"/>
  <c r="G160" i="2"/>
  <c r="G159" i="2"/>
  <c r="G158" i="2"/>
  <c r="G103" i="2"/>
  <c r="F103" i="2"/>
  <c r="C103" i="2"/>
  <c r="E50" i="2"/>
  <c r="C50" i="2"/>
  <c r="F31" i="2"/>
  <c r="C31" i="2"/>
  <c r="E18" i="2"/>
  <c r="F50" i="2"/>
  <c r="G660" i="1"/>
  <c r="G664" i="1" s="1"/>
  <c r="G667" i="1" s="1"/>
  <c r="I338" i="1"/>
  <c r="I352" i="1" s="1"/>
  <c r="J650" i="1"/>
  <c r="L407" i="1"/>
  <c r="C140" i="2" s="1"/>
  <c r="L571" i="1"/>
  <c r="I192" i="1"/>
  <c r="E91" i="2"/>
  <c r="D51" i="2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G63" i="2"/>
  <c r="J618" i="1"/>
  <c r="G42" i="2"/>
  <c r="J51" i="1"/>
  <c r="G16" i="2"/>
  <c r="G18" i="2" s="1"/>
  <c r="J19" i="1"/>
  <c r="G621" i="1" s="1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J652" i="1"/>
  <c r="G571" i="1"/>
  <c r="I434" i="1"/>
  <c r="G434" i="1"/>
  <c r="I663" i="1"/>
  <c r="F51" i="2" l="1"/>
  <c r="E51" i="2"/>
  <c r="J642" i="1"/>
  <c r="C81" i="2"/>
  <c r="J647" i="1"/>
  <c r="C141" i="2"/>
  <c r="C144" i="2" s="1"/>
  <c r="I661" i="1"/>
  <c r="G635" i="1"/>
  <c r="J635" i="1" s="1"/>
  <c r="G672" i="1"/>
  <c r="C5" i="10" s="1"/>
  <c r="H660" i="1"/>
  <c r="H664" i="1" s="1"/>
  <c r="H667" i="1" s="1"/>
  <c r="H648" i="1"/>
  <c r="J648" i="1" s="1"/>
  <c r="L257" i="1"/>
  <c r="L271" i="1" s="1"/>
  <c r="G632" i="1" s="1"/>
  <c r="J632" i="1" s="1"/>
  <c r="C128" i="2"/>
  <c r="C115" i="2"/>
  <c r="F660" i="1"/>
  <c r="F664" i="1" s="1"/>
  <c r="E104" i="2"/>
  <c r="F193" i="1"/>
  <c r="G627" i="1" s="1"/>
  <c r="J627" i="1" s="1"/>
  <c r="C63" i="2"/>
  <c r="C104" i="2" s="1"/>
  <c r="L408" i="1"/>
  <c r="C25" i="13"/>
  <c r="H33" i="13"/>
  <c r="G104" i="2"/>
  <c r="E33" i="13"/>
  <c r="D35" i="13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H672" i="1" l="1"/>
  <c r="C6" i="10" s="1"/>
  <c r="C145" i="2"/>
  <c r="I660" i="1"/>
  <c r="I664" i="1" s="1"/>
  <c r="I672" i="1" s="1"/>
  <c r="C7" i="10" s="1"/>
  <c r="G637" i="1"/>
  <c r="J637" i="1" s="1"/>
  <c r="H646" i="1"/>
  <c r="J646" i="1" s="1"/>
  <c r="F672" i="1"/>
  <c r="C4" i="10" s="1"/>
  <c r="F667" i="1"/>
  <c r="C41" i="10"/>
  <c r="D38" i="10" s="1"/>
  <c r="I667" i="1" l="1"/>
  <c r="D37" i="10"/>
  <c r="D36" i="10"/>
  <c r="D35" i="10"/>
  <c r="D40" i="10"/>
  <c r="D39" i="10"/>
  <c r="D41" i="10" l="1"/>
  <c r="G31" i="13"/>
  <c r="G33" i="13"/>
  <c r="L334" i="1"/>
  <c r="D31" i="13" s="1"/>
  <c r="C31" i="13" s="1"/>
  <c r="K337" i="1"/>
  <c r="L337" i="1" s="1"/>
  <c r="L338" i="1" s="1"/>
  <c r="L352" i="1" s="1"/>
  <c r="G633" i="1" s="1"/>
  <c r="C24" i="10" l="1"/>
  <c r="C28" i="10" s="1"/>
  <c r="D25" i="10" s="1"/>
  <c r="K338" i="1"/>
  <c r="K352" i="1" s="1"/>
  <c r="E114" i="2"/>
  <c r="E115" i="2" s="1"/>
  <c r="E145" i="2" s="1"/>
  <c r="H656" i="1"/>
  <c r="J633" i="1"/>
  <c r="D33" i="13"/>
  <c r="D36" i="13" s="1"/>
  <c r="D24" i="10" l="1"/>
  <c r="D13" i="10"/>
  <c r="C30" i="10"/>
  <c r="D26" i="10"/>
  <c r="D16" i="10"/>
  <c r="D21" i="10"/>
  <c r="D20" i="10"/>
  <c r="D22" i="10"/>
  <c r="D15" i="10"/>
  <c r="D12" i="10"/>
  <c r="D27" i="10"/>
  <c r="D18" i="10"/>
  <c r="D23" i="10"/>
  <c r="D10" i="10"/>
  <c r="D17" i="10"/>
  <c r="D19" i="10"/>
  <c r="D11" i="10"/>
  <c r="K544" i="1"/>
  <c r="K545" i="1" s="1"/>
  <c r="L542" i="1"/>
  <c r="J550" i="1" s="1"/>
  <c r="L544" i="1"/>
  <c r="L545" i="1" s="1"/>
  <c r="D28" i="10" l="1"/>
  <c r="J552" i="1"/>
  <c r="K550" i="1"/>
  <c r="K552" i="1" s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<sst xmlns="http://schemas.openxmlformats.org/spreadsheetml/2006/main" count="3958" uniqueCount="916">
  <si>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</si>
  <si>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</si>
  <si>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</si>
  <si>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</si>
  <si>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</si>
  <si>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</si>
  <si>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</si>
  <si>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</si>
  <si>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</si>
  <si>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</si>
  <si>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</si>
  <si>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</si>
  <si>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</si>
  <si>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</si>
  <si>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</si>
  <si>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</si>
  <si>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</si>
  <si>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</si>
  <si>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</si>
  <si>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</si>
  <si>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</si>
  <si>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</si>
  <si>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</si>
  <si>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</si>
  <si>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</si>
  <si>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</si>
  <si>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</si>
  <si>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</si>
  <si>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</si>
  <si>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</si>
  <si>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</si>
  <si>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</si>
  <si>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</si>
  <si>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</si>
  <si>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</si>
  <si>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</si>
  <si>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</si>
  <si>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</si>
  <si>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</si>
  <si>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</si>
  <si>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</si>
  <si>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</si>
  <si>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</si>
  <si>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</si>
  <si>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</si>
  <si>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</si>
  <si>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</si>
  <si>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</si>
  <si>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</si>
  <si>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</si>
  <si>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</si>
  <si>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</si>
  <si>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</si>
  <si>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</si>
  <si>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</si>
  <si>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</si>
  <si>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</si>
  <si>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</si>
  <si>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</si>
  <si>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</si>
  <si>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</si>
  <si>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</si>
  <si>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</si>
  <si>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</si>
  <si>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</si>
  <si>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</si>
  <si>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</si>
  <si>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</si>
  <si>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</si>
  <si>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</si>
  <si>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</si>
  <si>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</si>
  <si>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</si>
  <si>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</si>
  <si>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</si>
  <si>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</si>
  <si>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</si>
  <si>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</si>
  <si>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</si>
  <si>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</si>
  <si>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</si>
  <si>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</si>
  <si>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</si>
  <si>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</si>
  <si>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</si>
  <si>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</si>
  <si>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</si>
  <si>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</si>
  <si>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</si>
  <si>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</si>
  <si>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</si>
  <si>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</si>
  <si>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</si>
  <si>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</si>
  <si>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</si>
  <si>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</si>
  <si>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</si>
  <si>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</si>
  <si>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</si>
  <si>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</si>
  <si>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</si>
  <si>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</si>
  <si>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</si>
  <si>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</si>
  <si>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</si>
  <si>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</si>
  <si>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</si>
  <si>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</si>
  <si>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</si>
  <si>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</si>
  <si>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</si>
  <si>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</si>
  <si>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</si>
  <si>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</si>
  <si>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</si>
  <si>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</si>
  <si>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</si>
  <si>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</si>
  <si>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</si>
  <si>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</si>
  <si>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</si>
  <si>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</si>
  <si>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</si>
  <si>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</si>
  <si>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</si>
  <si>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</si>
  <si>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</si>
  <si>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</si>
  <si>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</si>
  <si>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</si>
  <si>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</si>
  <si>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</si>
  <si>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</si>
  <si>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</si>
  <si>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</si>
  <si>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</si>
  <si>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</si>
  <si>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</si>
  <si>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</si>
  <si>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</si>
  <si>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</si>
  <si>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</si>
  <si>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</si>
  <si>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</si>
  <si>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</si>
  <si>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</si>
  <si>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</si>
  <si>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</si>
  <si>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</si>
  <si>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</si>
  <si>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</si>
  <si>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</si>
  <si>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</si>
  <si>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</si>
  <si>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</si>
  <si>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</si>
  <si>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</si>
  <si>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</si>
  <si>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</si>
  <si>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</si>
  <si>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</si>
  <si>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</si>
  <si>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</si>
  <si>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</si>
  <si>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</si>
  <si>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</si>
  <si>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</si>
  <si>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</si>
  <si>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</si>
  <si>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</si>
  <si>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</si>
  <si>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</si>
  <si>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</si>
  <si>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</si>
  <si>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</si>
  <si>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</si>
  <si>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</si>
  <si>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</si>
  <si>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</si>
  <si>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</si>
  <si>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</si>
  <si>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</si>
  <si>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</si>
  <si>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</si>
  <si>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</si>
  <si>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</si>
  <si>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</si>
  <si>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</si>
  <si>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</si>
  <si>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</si>
  <si>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</si>
  <si>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</si>
  <si>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</si>
  <si>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</si>
  <si>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</si>
  <si>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</si>
  <si>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</si>
  <si>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</si>
  <si>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</si>
  <si>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</si>
  <si>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</si>
  <si>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</si>
  <si>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</si>
  <si>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</si>
  <si>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</si>
  <si>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</si>
  <si>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</si>
  <si>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</si>
  <si>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</si>
  <si>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</si>
  <si>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</si>
  <si>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</si>
  <si>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</si>
  <si>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</si>
  <si>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</si>
  <si>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</si>
  <si>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</si>
  <si>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</si>
  <si>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</si>
  <si>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</si>
  <si>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</si>
  <si>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</si>
  <si>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</si>
  <si>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</si>
  <si>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</si>
  <si>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</si>
  <si>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</si>
  <si>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</si>
  <si>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</si>
  <si>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</si>
  <si>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</si>
  <si>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</si>
  <si>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</si>
  <si>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</si>
  <si>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</si>
  <si>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</si>
  <si>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</si>
  <si>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</si>
  <si>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</si>
  <si>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</si>
  <si>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</si>
  <si>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</si>
  <si>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</si>
  <si>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</si>
  <si>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</si>
  <si>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</si>
  <si>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</si>
  <si>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</si>
  <si>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</si>
  <si>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</si>
  <si>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</si>
  <si>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</si>
  <si>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</si>
  <si>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</si>
  <si>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</si>
  <si>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</si>
  <si>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</si>
  <si>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</si>
  <si>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</si>
  <si>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</si>
  <si>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</si>
  <si>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</si>
  <si>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</si>
  <si>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</si>
  <si>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</si>
  <si>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</si>
  <si>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</si>
  <si>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</si>
  <si>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</si>
  <si>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</si>
  <si>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</si>
  <si>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</si>
  <si>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</si>
  <si>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</si>
  <si>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</si>
  <si>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</si>
  <si>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</si>
  <si>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</si>
  <si>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</si>
  <si>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</si>
  <si>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</si>
  <si>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</si>
  <si>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</si>
  <si>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</si>
  <si>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</si>
  <si>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</si>
  <si>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</si>
  <si>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</si>
  <si>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</si>
  <si>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</si>
  <si>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</si>
  <si>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</si>
  <si>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</si>
  <si>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</si>
  <si>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</si>
  <si>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</si>
  <si>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</si>
  <si>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</si>
  <si>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</si>
  <si>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</si>
  <si>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</si>
  <si>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</si>
  <si>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</si>
  <si>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</si>
  <si>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</si>
  <si>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</si>
  <si>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</si>
  <si>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</si>
  <si>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</si>
  <si>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</si>
  <si>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</si>
  <si>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</si>
  <si>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</si>
  <si>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</si>
  <si>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</si>
  <si>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</si>
  <si>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</si>
  <si>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</si>
  <si>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</si>
  <si>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</si>
  <si>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</si>
  <si>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</si>
  <si>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</si>
  <si>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</si>
  <si>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</si>
  <si>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</si>
  <si>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</si>
  <si>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</si>
  <si>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</si>
  <si>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</si>
  <si>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</si>
  <si>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</si>
  <si>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</si>
  <si>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</si>
  <si>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</si>
  <si>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</si>
  <si>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</si>
  <si>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</si>
  <si>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</si>
  <si>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</si>
  <si>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</si>
  <si>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</si>
  <si>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</si>
  <si>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</si>
  <si>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</si>
  <si>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</si>
  <si>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</si>
  <si>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</si>
  <si>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</si>
  <si>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</si>
  <si>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</si>
  <si>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</si>
  <si>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</si>
  <si>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</si>
  <si>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</si>
  <si>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</si>
  <si>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</si>
  <si>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</si>
  <si>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</si>
  <si>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</si>
  <si>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</si>
  <si>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</si>
  <si>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</si>
  <si>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</si>
  <si>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</si>
  <si>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</si>
  <si>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</si>
  <si>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</si>
  <si>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</si>
  <si>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</si>
  <si>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</si>
  <si>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</si>
  <si>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</si>
  <si>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</si>
  <si>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</si>
  <si>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</si>
  <si>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</si>
  <si>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</si>
  <si>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</si>
  <si>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</si>
  <si>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</si>
  <si>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</si>
  <si>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</si>
  <si>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</si>
  <si>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</si>
  <si>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</si>
  <si>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</si>
  <si>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</si>
  <si>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</si>
  <si>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</si>
  <si>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</si>
  <si>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</si>
  <si>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</si>
  <si>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</si>
  <si>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</si>
  <si>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</si>
  <si>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</si>
  <si>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</si>
  <si>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</si>
  <si>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</si>
  <si>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</si>
  <si>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</si>
  <si>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</si>
  <si>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</si>
  <si>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</si>
  <si>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</si>
  <si>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</si>
  <si>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</si>
  <si>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</si>
  <si>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</si>
  <si>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</si>
  <si>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</si>
  <si>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</si>
  <si>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</si>
  <si>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</si>
  <si>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</si>
  <si>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</si>
  <si>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</si>
  <si>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</si>
  <si>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</si>
  <si>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</si>
  <si>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</si>
  <si>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</si>
  <si>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</si>
  <si>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</si>
  <si>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</si>
  <si>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</si>
  <si>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</si>
  <si>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</si>
  <si>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</si>
  <si>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</si>
  <si>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</si>
  <si>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</si>
  <si>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</si>
  <si>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</si>
  <si>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</si>
  <si>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</si>
  <si>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</si>
  <si>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</si>
  <si>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</si>
  <si>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</si>
  <si>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</si>
  <si>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</si>
  <si>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</si>
  <si>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</si>
  <si>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</si>
  <si>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</si>
  <si>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</si>
  <si>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</si>
  <si>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</si>
  <si>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</si>
  <si>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</si>
  <si>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</si>
  <si>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</si>
  <si>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</si>
  <si>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</si>
  <si>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</si>
  <si>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</si>
  <si>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</si>
  <si>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</si>
  <si>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</si>
  <si>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</si>
  <si>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</si>
  <si>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</si>
  <si>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</si>
  <si>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</si>
  <si>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</si>
  <si>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</si>
  <si>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</si>
  <si>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</si>
  <si>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</si>
  <si>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</si>
  <si>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</si>
  <si>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</si>
  <si>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</si>
  <si>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</si>
  <si>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</si>
  <si>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</si>
  <si>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</si>
  <si>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</si>
  <si>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</si>
  <si>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</si>
  <si>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</si>
  <si>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</si>
  <si>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</si>
  <si>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</si>
  <si>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</si>
  <si>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</si>
  <si>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</si>
  <si>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</si>
  <si>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</si>
  <si>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</si>
  <si>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</si>
  <si>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</si>
  <si>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</si>
  <si>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</si>
  <si>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</si>
  <si>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</si>
  <si>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</si>
  <si>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</si>
  <si>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</si>
  <si>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</si>
  <si>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</si>
  <si>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</si>
  <si>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</si>
  <si>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</si>
  <si>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</si>
  <si>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</si>
  <si>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</si>
  <si>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</si>
  <si>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</si>
  <si>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</si>
  <si>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</si>
  <si>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</si>
  <si>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</si>
  <si>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</si>
  <si>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</si>
  <si>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</si>
  <si>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</si>
  <si>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</si>
  <si>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</si>
  <si>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</si>
  <si>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</si>
  <si>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</si>
  <si>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</si>
  <si>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</si>
  <si>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</si>
  <si>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</si>
  <si>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</si>
  <si>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</si>
  <si>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</si>
  <si>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</si>
  <si>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</si>
  <si>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</si>
  <si>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</si>
  <si>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</si>
  <si>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</si>
  <si>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</si>
  <si>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</si>
  <si>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</si>
  <si>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</si>
  <si>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</si>
  <si>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</si>
  <si>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</si>
  <si>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</si>
  <si>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</si>
  <si>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</si>
  <si>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</si>
  <si>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</si>
  <si>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</si>
  <si>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</si>
  <si>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</si>
  <si>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</si>
  <si>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</si>
  <si>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</si>
  <si>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</si>
  <si>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</si>
  <si>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</si>
  <si>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</si>
  <si>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</si>
  <si>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</si>
  <si>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</si>
  <si>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</si>
  <si>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</si>
  <si>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</si>
  <si>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</si>
  <si>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</si>
  <si>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</si>
  <si>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</si>
  <si>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</si>
  <si>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</si>
  <si>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</si>
  <si>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</si>
  <si>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</si>
  <si>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</si>
  <si>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</si>
  <si>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</si>
  <si>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</si>
  <si>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</si>
  <si>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</si>
  <si>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</si>
  <si>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</si>
  <si>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</si>
  <si>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</si>
  <si>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</si>
  <si>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</si>
  <si>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</si>
  <si>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</si>
  <si>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</si>
  <si>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</si>
  <si>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</si>
  <si>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</si>
  <si>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</si>
  <si>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</si>
  <si>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</si>
  <si>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</si>
  <si>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</si>
  <si>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</si>
  <si>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</si>
  <si>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</si>
  <si>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</si>
  <si>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</si>
  <si>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</si>
  <si>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</si>
  <si>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</si>
  <si>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</si>
  <si>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</si>
  <si>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</si>
  <si>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</si>
  <si>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</si>
  <si>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</si>
  <si>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</si>
  <si>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</si>
  <si>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</si>
  <si>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</si>
  <si>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</si>
  <si>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</si>
  <si>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</si>
  <si>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</si>
  <si>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</si>
  <si>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</si>
  <si>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</si>
  <si>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</si>
  <si>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</si>
  <si>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</si>
  <si>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</si>
  <si>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</si>
  <si>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</si>
  <si>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</si>
  <si>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</si>
  <si>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</si>
  <si>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</si>
  <si>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</si>
  <si>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</si>
  <si>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</si>
  <si>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</si>
  <si>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</si>
  <si>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</si>
  <si>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</si>
  <si>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</si>
  <si>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</si>
  <si>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</si>
  <si>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</si>
  <si>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</si>
  <si>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</si>
  <si>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</si>
  <si>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</si>
  <si>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</si>
  <si>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</si>
  <si>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</si>
  <si>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</si>
  <si>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</si>
  <si>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</si>
  <si>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</si>
  <si>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</si>
  <si>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</si>
  <si>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</si>
  <si>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</si>
  <si>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</si>
  <si>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</si>
  <si>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</si>
  <si>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</si>
  <si>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</si>
  <si>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</si>
  <si>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</si>
  <si>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</si>
  <si>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</si>
  <si>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</si>
  <si>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</si>
  <si>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</si>
  <si>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</si>
  <si>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</si>
  <si>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</si>
  <si>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</si>
  <si>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</si>
  <si>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</si>
  <si>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</si>
  <si>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</si>
  <si>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</si>
  <si>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</si>
  <si>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</si>
  <si>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</si>
  <si>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</si>
  <si>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</si>
  <si>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</si>
  <si>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</si>
  <si>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</si>
  <si>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</si>
  <si>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</si>
  <si>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</si>
  <si>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</si>
  <si>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</si>
  <si>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</si>
  <si>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</si>
  <si>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</si>
  <si>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</si>
  <si>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</si>
  <si>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</si>
  <si>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</si>
  <si>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</si>
  <si>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</si>
  <si>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</si>
  <si>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</si>
  <si>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</si>
  <si>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</si>
  <si>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</si>
  <si>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</si>
  <si>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</si>
  <si>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</si>
  <si>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</si>
  <si>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</si>
  <si>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</si>
  <si>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</si>
  <si>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</si>
  <si>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</si>
  <si>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</si>
  <si>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</si>
  <si>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</si>
  <si>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</si>
  <si>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</si>
  <si>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</si>
  <si>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</si>
  <si>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</si>
  <si>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</si>
  <si>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</si>
  <si>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</si>
  <si>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</si>
  <si>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</si>
  <si>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</si>
  <si>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</si>
  <si>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</si>
  <si>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</si>
  <si>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</si>
  <si>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</si>
  <si>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</si>
  <si>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</si>
  <si>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</si>
  <si>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</si>
  <si>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</si>
  <si>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</si>
  <si>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</si>
  <si>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</si>
  <si>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</si>
  <si>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</si>
  <si>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</si>
  <si>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</si>
  <si>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</si>
  <si>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</si>
  <si>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</si>
  <si>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</si>
  <si>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</si>
  <si>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</si>
  <si>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</si>
  <si>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</si>
  <si>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</si>
  <si>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</si>
  <si>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</si>
  <si>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</si>
  <si>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</si>
  <si>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</si>
  <si>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</si>
  <si>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</si>
  <si>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</si>
  <si>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</si>
  <si>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</si>
  <si>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</si>
  <si>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</si>
  <si>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</si>
  <si>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</si>
  <si>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</si>
  <si>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</si>
  <si>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</si>
  <si>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</si>
  <si>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</si>
  <si>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</si>
  <si>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</si>
  <si>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</si>
  <si>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</si>
  <si>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</si>
  <si>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</si>
  <si>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</si>
  <si>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</si>
  <si>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</si>
  <si>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</si>
  <si>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</si>
  <si>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</si>
  <si>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</si>
  <si>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</si>
  <si>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</si>
  <si>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</si>
  <si>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</si>
  <si>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</si>
  <si>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</si>
  <si>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</si>
  <si>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</si>
  <si>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</si>
  <si>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</si>
  <si>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</si>
  <si>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</si>
  <si>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</si>
  <si>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</si>
  <si>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</si>
  <si>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</si>
  <si>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</si>
  <si>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</si>
  <si>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</si>
  <si>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</si>
  <si>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</si>
  <si>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</si>
  <si>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</si>
  <si>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</si>
  <si>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</si>
  <si>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</si>
  <si>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</si>
  <si>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</si>
  <si>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</si>
  <si>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</si>
  <si>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</si>
  <si>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</si>
  <si>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</si>
  <si>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</si>
  <si>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</si>
  <si>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</si>
  <si>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</si>
  <si>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</si>
  <si>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</si>
  <si>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</si>
  <si>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</si>
  <si>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</si>
  <si>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</si>
  <si>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</si>
  <si>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</si>
  <si>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</si>
  <si>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</si>
  <si>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</si>
  <si>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</si>
  <si>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</si>
  <si>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</si>
  <si>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</si>
  <si>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</si>
  <si>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</si>
  <si>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</si>
  <si>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</si>
  <si>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</si>
  <si>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</si>
  <si>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</si>
  <si>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</si>
  <si>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</si>
  <si>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</si>
  <si>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</si>
  <si>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</si>
  <si>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</si>
  <si>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</si>
  <si>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</si>
  <si>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</si>
  <si>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</si>
  <si>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</si>
  <si>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</si>
  <si>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</si>
  <si>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</si>
  <si>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</si>
  <si>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</si>
  <si>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</si>
  <si>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</si>
  <si>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</si>
  <si>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</si>
  <si>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</si>
  <si>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</si>
  <si>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</si>
  <si>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</si>
  <si>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</si>
  <si>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</si>
  <si>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</si>
  <si>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</si>
  <si>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</si>
  <si>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</si>
  <si>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</si>
  <si>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</si>
  <si>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</si>
  <si>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</si>
  <si>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</si>
  <si>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</si>
  <si>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</si>
  <si>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</si>
  <si>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</si>
  <si>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</si>
  <si>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</si>
  <si>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</si>
  <si>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</si>
  <si>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</si>
  <si>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</si>
  <si>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</si>
  <si>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</si>
  <si>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</si>
  <si>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</si>
  <si>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</si>
  <si>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</si>
  <si>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</si>
  <si>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</si>
  <si>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</si>
  <si>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</si>
  <si>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</si>
  <si>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</si>
  <si>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</si>
  <si>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</si>
  <si>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</si>
  <si>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</si>
  <si>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</si>
  <si>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</si>
  <si>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</si>
  <si>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</si>
  <si>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</si>
  <si>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Audited change in surplus from 14-15 YE</t>
  </si>
  <si>
    <t>08/05</t>
  </si>
  <si>
    <t>08/24</t>
  </si>
  <si>
    <t>Fall Mtn Regional - SAU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</si>
</sst>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4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915</v>
      </c>
      <c r="B2" s="21">
        <v>174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1924332.32+1750</f>
        <v>1926082.32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2340815.77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436449.32</v>
      </c>
      <c r="G12" s="18">
        <v>2368.38</v>
      </c>
      <c r="H12" s="18">
        <v>-408297.37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f>25183.68+18993.32</f>
        <v>44177</v>
      </c>
      <c r="G13" s="18">
        <v>12841.7</v>
      </c>
      <c r="H13" s="18">
        <v>462089.45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15633.48</v>
      </c>
      <c r="G14" s="18"/>
      <c r="H14" s="18">
        <v>3901.01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f>14105.79+260208</f>
        <v>274313.78999999998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2696655.91</v>
      </c>
      <c r="G19" s="41">
        <f>SUM(G9:G18)</f>
        <v>15210.080000000002</v>
      </c>
      <c r="H19" s="41">
        <f>SUM(H9:H18)</f>
        <v>57693.090000000018</v>
      </c>
      <c r="I19" s="41">
        <f>SUM(I9:I18)</f>
        <v>0</v>
      </c>
      <c r="J19" s="41">
        <f>SUM(J9:J18)</f>
        <v>2340815.77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359208.58+20000</f>
        <v>379208.58</v>
      </c>
      <c r="G24" s="18">
        <v>15210.08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1969247.8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80544.7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2429001.08</v>
      </c>
      <c r="G32" s="41">
        <f>SUM(G22:G31)</f>
        <v>15210.08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f>104292.66+164368.85+18993.32-20000</f>
        <v>267654.83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f>115100.9-57407.81</f>
        <v>57693.09</v>
      </c>
      <c r="I48" s="18"/>
      <c r="J48" s="13">
        <f>SUM(I459)</f>
        <v>2340815.77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/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267654.83</v>
      </c>
      <c r="G51" s="41">
        <f>SUM(G35:G50)</f>
        <v>0</v>
      </c>
      <c r="H51" s="41">
        <f>SUM(H35:H50)</f>
        <v>57693.09</v>
      </c>
      <c r="I51" s="41">
        <f>SUM(I35:I50)</f>
        <v>0</v>
      </c>
      <c r="J51" s="41">
        <f>SUM(J35:J50)</f>
        <v>2340815.77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2696655.91</v>
      </c>
      <c r="G52" s="41">
        <f>G51+G32</f>
        <v>15210.08</v>
      </c>
      <c r="H52" s="41">
        <f>H51+H32</f>
        <v>57693.09</v>
      </c>
      <c r="I52" s="41">
        <f>I51+I32</f>
        <v>0</v>
      </c>
      <c r="J52" s="41">
        <f>J51+J32</f>
        <v>2340815.77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15159386.02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15159386.02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393474.1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48237.65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441711.75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30580.62</v>
      </c>
      <c r="G96" s="18"/>
      <c r="H96" s="18"/>
      <c r="I96" s="18"/>
      <c r="J96" s="18">
        <v>18867.16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217670.18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f>22136.89-11200.88</f>
        <v>10936.01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7930.09</v>
      </c>
      <c r="G110" s="18"/>
      <c r="H110" s="18">
        <v>11200.88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38510.71</v>
      </c>
      <c r="G111" s="41">
        <f>SUM(G96:G110)</f>
        <v>217670.18</v>
      </c>
      <c r="H111" s="41">
        <f>SUM(H96:H110)</f>
        <v>22136.89</v>
      </c>
      <c r="I111" s="41">
        <f>SUM(I96:I110)</f>
        <v>0</v>
      </c>
      <c r="J111" s="41">
        <f>SUM(J96:J110)</f>
        <v>18867.16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15639608.48</v>
      </c>
      <c r="G112" s="41">
        <f>G60+G111</f>
        <v>217670.18</v>
      </c>
      <c r="H112" s="41">
        <f>H60+H79+H94+H111</f>
        <v>22136.89</v>
      </c>
      <c r="I112" s="41">
        <f>I60+I111</f>
        <v>0</v>
      </c>
      <c r="J112" s="41">
        <f>J60+J111</f>
        <v>18867.16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8238046.71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2263331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3763.96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10505141.670000002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558750.65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120211.86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92683.96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23541.8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15734.73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795188.27</v>
      </c>
      <c r="G136" s="41">
        <f>SUM(G123:G135)</f>
        <v>15734.73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11300329.940000001</v>
      </c>
      <c r="G140" s="41">
        <f>G121+SUM(G136:G137)</f>
        <v>15734.73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445483.7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156204.31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61955.18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331226.34+22754.66-15734.73+18993.32</f>
        <v>357239.59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476075.26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251442.02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251442.02</v>
      </c>
      <c r="G162" s="41">
        <f>SUM(G150:G161)</f>
        <v>357239.59</v>
      </c>
      <c r="H162" s="41">
        <f>SUM(H150:H161)</f>
        <v>1139718.4500000002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251442.02</v>
      </c>
      <c r="G169" s="41">
        <f>G147+G162+SUM(G163:G168)</f>
        <v>357239.59</v>
      </c>
      <c r="H169" s="41">
        <f>H147+H162+SUM(H163:H168)</f>
        <v>1139718.4500000002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f>246369.56-18993.32</f>
        <v>227376.24</v>
      </c>
      <c r="H179" s="18"/>
      <c r="I179" s="18"/>
      <c r="J179" s="18">
        <v>104292.66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227376.24</v>
      </c>
      <c r="H183" s="41">
        <f>SUM(H179:H182)</f>
        <v>0</v>
      </c>
      <c r="I183" s="41">
        <f>SUM(I179:I182)</f>
        <v>0</v>
      </c>
      <c r="J183" s="41">
        <f>SUM(J179:J182)</f>
        <v>104292.66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f>224219+27586.26</f>
        <v>251805.26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251805.26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251805.26</v>
      </c>
      <c r="G192" s="41">
        <f>G183+SUM(G188:G191)</f>
        <v>227376.24</v>
      </c>
      <c r="H192" s="41">
        <f>+H183+SUM(H188:H191)</f>
        <v>0</v>
      </c>
      <c r="I192" s="41">
        <f>I177+I183+SUM(I188:I191)</f>
        <v>0</v>
      </c>
      <c r="J192" s="41">
        <f>J183</f>
        <v>104292.66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27443185.700000003</v>
      </c>
      <c r="G193" s="47">
        <f>G112+G140+G169+G192</f>
        <v>818020.74</v>
      </c>
      <c r="H193" s="47">
        <f>H112+H140+H169+H192</f>
        <v>1161855.3400000001</v>
      </c>
      <c r="I193" s="47">
        <f>I112+I140+I169+I192</f>
        <v>0</v>
      </c>
      <c r="J193" s="47">
        <f>J112+J140+J192</f>
        <v>123159.82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4528389.0999999996</v>
      </c>
      <c r="G197" s="18">
        <v>2213455.06</v>
      </c>
      <c r="H197" s="18">
        <f>37296.56+12224.97</f>
        <v>49521.53</v>
      </c>
      <c r="I197" s="18">
        <v>166636.26999999999</v>
      </c>
      <c r="J197" s="18">
        <v>120561.06</v>
      </c>
      <c r="K197" s="18">
        <v>4331.32</v>
      </c>
      <c r="L197" s="19">
        <f>SUM(F197:K197)</f>
        <v>7082894.3399999999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3045171.15+33055.43</f>
        <v>3078226.58</v>
      </c>
      <c r="G198" s="18">
        <f>1050926.28+2791.56</f>
        <v>1053717.8400000001</v>
      </c>
      <c r="H198" s="18">
        <f>102772.07+234.44+316443.06+11941.92</f>
        <v>431391.49</v>
      </c>
      <c r="I198" s="18">
        <v>22704.7</v>
      </c>
      <c r="J198" s="18">
        <v>11431.42</v>
      </c>
      <c r="K198" s="18">
        <v>875</v>
      </c>
      <c r="L198" s="19">
        <f>SUM(F198:K198)</f>
        <v>4598347.03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61897.5</v>
      </c>
      <c r="G200" s="18">
        <v>10579.65</v>
      </c>
      <c r="H200" s="18">
        <f>16234.25+457.53</f>
        <v>16691.78</v>
      </c>
      <c r="I200" s="18">
        <v>7712.78</v>
      </c>
      <c r="J200" s="18">
        <v>15605.43</v>
      </c>
      <c r="K200" s="18">
        <v>100</v>
      </c>
      <c r="L200" s="19">
        <f>SUM(F200:K200)</f>
        <v>112587.13999999998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312338.64+209696.86</f>
        <v>522035.5</v>
      </c>
      <c r="G202" s="18">
        <f>107748.81+88970.61</f>
        <v>196719.41999999998</v>
      </c>
      <c r="H202" s="18">
        <f>2429.84+327+1163.96</f>
        <v>3920.8</v>
      </c>
      <c r="I202" s="18">
        <f>3325.56+3972.96</f>
        <v>7298.52</v>
      </c>
      <c r="J202" s="18">
        <v>2041.03</v>
      </c>
      <c r="K202" s="18"/>
      <c r="L202" s="19">
        <f t="shared" ref="L202:L208" si="0">SUM(F202:K202)</f>
        <v>732015.27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154954.93+427494.16</f>
        <v>582449.09</v>
      </c>
      <c r="G203" s="18">
        <f>174084.99+171708.92</f>
        <v>345793.91000000003</v>
      </c>
      <c r="H203" s="18">
        <f>26825.53+2331.22+11094.32+11265.81+6849.13</f>
        <v>58366.009999999995</v>
      </c>
      <c r="I203" s="18">
        <f>314.36+49058.79</f>
        <v>49373.15</v>
      </c>
      <c r="J203" s="18">
        <v>307.63</v>
      </c>
      <c r="K203" s="18">
        <v>7792.53</v>
      </c>
      <c r="L203" s="19">
        <f t="shared" si="0"/>
        <v>1044082.3200000001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138577.67000000001</v>
      </c>
      <c r="G204" s="18">
        <v>63010.18</v>
      </c>
      <c r="H204" s="18">
        <f>69691.71-3224.15</f>
        <v>66467.560000000012</v>
      </c>
      <c r="I204" s="18">
        <v>11168.94</v>
      </c>
      <c r="J204" s="18">
        <v>2950.04</v>
      </c>
      <c r="K204" s="18">
        <v>5426.54</v>
      </c>
      <c r="L204" s="19">
        <f t="shared" si="0"/>
        <v>287600.93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733180.06</v>
      </c>
      <c r="G205" s="18">
        <v>287875.83</v>
      </c>
      <c r="H205" s="18">
        <f>975.27+10515.16</f>
        <v>11490.43</v>
      </c>
      <c r="I205" s="18">
        <v>13065.19</v>
      </c>
      <c r="J205" s="18">
        <v>9962.93</v>
      </c>
      <c r="K205" s="18">
        <v>2996</v>
      </c>
      <c r="L205" s="19">
        <f t="shared" si="0"/>
        <v>1058570.4400000002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130277.64</v>
      </c>
      <c r="G206" s="18">
        <v>40372.129999999997</v>
      </c>
      <c r="H206" s="18">
        <f>4634.41+14201.75+2646.99</f>
        <v>21483.15</v>
      </c>
      <c r="I206" s="18">
        <v>1420.07</v>
      </c>
      <c r="J206" s="18">
        <v>316.77</v>
      </c>
      <c r="K206" s="18">
        <v>1117.93</v>
      </c>
      <c r="L206" s="19">
        <f t="shared" si="0"/>
        <v>194987.68999999997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860043.19</v>
      </c>
      <c r="G207" s="18">
        <v>394272.63</v>
      </c>
      <c r="H207" s="18">
        <f>312794.3+131670.04</f>
        <v>444464.33999999997</v>
      </c>
      <c r="I207" s="18">
        <v>403146.77</v>
      </c>
      <c r="J207" s="18">
        <v>25915.19</v>
      </c>
      <c r="K207" s="18">
        <v>478.72</v>
      </c>
      <c r="L207" s="19">
        <f t="shared" si="0"/>
        <v>2128320.84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433477.29</v>
      </c>
      <c r="G208" s="18">
        <v>93079.62</v>
      </c>
      <c r="H208" s="18">
        <f>1012+208375.46+6433</f>
        <v>215820.46</v>
      </c>
      <c r="I208" s="18">
        <v>73174.789999999994</v>
      </c>
      <c r="J208" s="18">
        <v>5340.87</v>
      </c>
      <c r="K208" s="18"/>
      <c r="L208" s="19">
        <f t="shared" si="0"/>
        <v>820893.02999999991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11068553.619999999</v>
      </c>
      <c r="G211" s="41">
        <f t="shared" si="1"/>
        <v>4698876.2700000005</v>
      </c>
      <c r="H211" s="41">
        <f t="shared" si="1"/>
        <v>1319617.55</v>
      </c>
      <c r="I211" s="41">
        <f t="shared" si="1"/>
        <v>755701.18</v>
      </c>
      <c r="J211" s="41">
        <f t="shared" si="1"/>
        <v>194432.37</v>
      </c>
      <c r="K211" s="41">
        <f t="shared" si="1"/>
        <v>23118.04</v>
      </c>
      <c r="L211" s="41">
        <f t="shared" si="1"/>
        <v>18060299.030000001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1658717.18</v>
      </c>
      <c r="G233" s="18">
        <v>786577.92000000004</v>
      </c>
      <c r="H233" s="18">
        <f>16922.5+13594.98+5273.5</f>
        <v>35790.979999999996</v>
      </c>
      <c r="I233" s="18">
        <v>55930.44</v>
      </c>
      <c r="J233" s="18">
        <v>104848.43</v>
      </c>
      <c r="K233" s="18">
        <v>9278.3799999999992</v>
      </c>
      <c r="L233" s="19">
        <f>SUM(F233:K233)</f>
        <v>2651143.33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640651.81000000006</v>
      </c>
      <c r="G234" s="18">
        <v>263318.99</v>
      </c>
      <c r="H234" s="18">
        <f>419.77+631649.37</f>
        <v>632069.14</v>
      </c>
      <c r="I234" s="18">
        <v>10671.7</v>
      </c>
      <c r="J234" s="18">
        <v>7853</v>
      </c>
      <c r="K234" s="18">
        <v>4517.91</v>
      </c>
      <c r="L234" s="19">
        <f>SUM(F234:K234)</f>
        <v>1559082.5499999998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410243.5</v>
      </c>
      <c r="G235" s="18">
        <v>169072.71</v>
      </c>
      <c r="H235" s="18">
        <f>6894+204050.28</f>
        <v>210944.28</v>
      </c>
      <c r="I235" s="18">
        <v>68478.03</v>
      </c>
      <c r="J235" s="18">
        <v>9798.98</v>
      </c>
      <c r="K235" s="18">
        <v>290</v>
      </c>
      <c r="L235" s="19">
        <f>SUM(F235:K235)</f>
        <v>868827.5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168962.5</v>
      </c>
      <c r="G236" s="18">
        <v>44133.57</v>
      </c>
      <c r="H236" s="18">
        <f>51135.47+6336.94+484.4</f>
        <v>57956.810000000005</v>
      </c>
      <c r="I236" s="18">
        <v>4499.92</v>
      </c>
      <c r="J236" s="18">
        <v>16532.400000000001</v>
      </c>
      <c r="K236" s="18">
        <v>3664</v>
      </c>
      <c r="L236" s="19">
        <f>SUM(F236:K236)</f>
        <v>295749.2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291075.15+61467</f>
        <v>352542.15</v>
      </c>
      <c r="G238" s="18">
        <f>124560.72+32261.69</f>
        <v>156822.41</v>
      </c>
      <c r="H238" s="18">
        <f>15246+1887.58</f>
        <v>17133.580000000002</v>
      </c>
      <c r="I238" s="18">
        <f>1104.04+1118.59</f>
        <v>2222.63</v>
      </c>
      <c r="J238" s="18">
        <v>2356.9899999999998</v>
      </c>
      <c r="K238" s="18">
        <v>507</v>
      </c>
      <c r="L238" s="19">
        <f t="shared" ref="L238:L244" si="4">SUM(F238:K238)</f>
        <v>531584.76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31468+66207.14</f>
        <v>97675.14</v>
      </c>
      <c r="G239" s="18">
        <f>7463.45+24799.8</f>
        <v>32263.25</v>
      </c>
      <c r="H239" s="18"/>
      <c r="I239" s="18">
        <v>9871.5</v>
      </c>
      <c r="J239" s="18"/>
      <c r="K239" s="18"/>
      <c r="L239" s="19">
        <f t="shared" si="4"/>
        <v>139809.89000000001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92385.11</v>
      </c>
      <c r="G240" s="18">
        <v>42006.79</v>
      </c>
      <c r="H240" s="18">
        <v>46461.14</v>
      </c>
      <c r="I240" s="18">
        <v>7445.96</v>
      </c>
      <c r="J240" s="18">
        <v>1966.7</v>
      </c>
      <c r="K240" s="18">
        <v>3617.69</v>
      </c>
      <c r="L240" s="19">
        <f t="shared" si="4"/>
        <v>193883.38999999998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279089.12</v>
      </c>
      <c r="G241" s="18">
        <v>121704</v>
      </c>
      <c r="H241" s="18">
        <f>8493.78+485+8474.19</f>
        <v>17452.97</v>
      </c>
      <c r="I241" s="18">
        <v>2412.48</v>
      </c>
      <c r="J241" s="18">
        <v>16983</v>
      </c>
      <c r="K241" s="18">
        <v>1613</v>
      </c>
      <c r="L241" s="19">
        <f t="shared" si="4"/>
        <v>439254.56999999995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86851.76</v>
      </c>
      <c r="G242" s="18">
        <v>26914.75</v>
      </c>
      <c r="H242" s="18">
        <f>3089.61+9467.83+1764.66</f>
        <v>14322.1</v>
      </c>
      <c r="I242" s="18">
        <v>946.72</v>
      </c>
      <c r="J242" s="18">
        <v>211.18</v>
      </c>
      <c r="K242" s="18">
        <v>745.28</v>
      </c>
      <c r="L242" s="19">
        <f t="shared" si="4"/>
        <v>129991.79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196796.63</v>
      </c>
      <c r="G243" s="18">
        <v>96596.42</v>
      </c>
      <c r="H243" s="18">
        <f>78809.27+49116.36+59011.87</f>
        <v>186937.5</v>
      </c>
      <c r="I243" s="18">
        <v>157220.12</v>
      </c>
      <c r="J243" s="18">
        <v>2709</v>
      </c>
      <c r="K243" s="18"/>
      <c r="L243" s="19">
        <f t="shared" si="4"/>
        <v>640259.66999999993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156392.41</v>
      </c>
      <c r="G244" s="18">
        <v>33834.120000000003</v>
      </c>
      <c r="H244" s="18">
        <f>133809.57+9269</f>
        <v>143078.57</v>
      </c>
      <c r="I244" s="18">
        <v>35612.57</v>
      </c>
      <c r="J244" s="18"/>
      <c r="K244" s="18"/>
      <c r="L244" s="19">
        <f t="shared" si="4"/>
        <v>368917.67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4140307.31</v>
      </c>
      <c r="G247" s="41">
        <f t="shared" si="5"/>
        <v>1773244.9300000002</v>
      </c>
      <c r="H247" s="41">
        <f t="shared" si="5"/>
        <v>1362147.07</v>
      </c>
      <c r="I247" s="41">
        <f t="shared" si="5"/>
        <v>355312.07</v>
      </c>
      <c r="J247" s="41">
        <f t="shared" si="5"/>
        <v>163259.68</v>
      </c>
      <c r="K247" s="41">
        <f t="shared" si="5"/>
        <v>24233.26</v>
      </c>
      <c r="L247" s="41">
        <f t="shared" si="5"/>
        <v>7818504.3199999994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f>41766.31+267608.41</f>
        <v>309374.71999999997</v>
      </c>
      <c r="I255" s="18"/>
      <c r="J255" s="18"/>
      <c r="K255" s="18"/>
      <c r="L255" s="19">
        <f t="shared" si="6"/>
        <v>309374.71999999997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309374.71999999997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309374.71999999997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15208860.93</v>
      </c>
      <c r="G257" s="41">
        <f t="shared" si="8"/>
        <v>6472121.2000000011</v>
      </c>
      <c r="H257" s="41">
        <f t="shared" si="8"/>
        <v>2991139.34</v>
      </c>
      <c r="I257" s="41">
        <f t="shared" si="8"/>
        <v>1111013.25</v>
      </c>
      <c r="J257" s="41">
        <f t="shared" si="8"/>
        <v>357692.05</v>
      </c>
      <c r="K257" s="41">
        <f t="shared" si="8"/>
        <v>47351.3</v>
      </c>
      <c r="L257" s="41">
        <f t="shared" si="8"/>
        <v>26188178.07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f>608412.03+100000</f>
        <v>708412.03</v>
      </c>
      <c r="L260" s="19">
        <f>SUM(F260:K260)</f>
        <v>708412.03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f>37265+14299.53</f>
        <v>51564.53</v>
      </c>
      <c r="L261" s="19">
        <f>SUM(F261:K261)</f>
        <v>51564.53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f>246369.56-18993.32</f>
        <v>227376.24</v>
      </c>
      <c r="L263" s="19">
        <f>SUM(F263:K263)</f>
        <v>227376.24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104292.66</v>
      </c>
      <c r="L266" s="19">
        <f t="shared" si="9"/>
        <v>104292.66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1091645.46</v>
      </c>
      <c r="L270" s="41">
        <f t="shared" si="9"/>
        <v>1091645.46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15208860.93</v>
      </c>
      <c r="G271" s="42">
        <f t="shared" si="11"/>
        <v>6472121.2000000011</v>
      </c>
      <c r="H271" s="42">
        <f t="shared" si="11"/>
        <v>2991139.34</v>
      </c>
      <c r="I271" s="42">
        <f t="shared" si="11"/>
        <v>1111013.25</v>
      </c>
      <c r="J271" s="42">
        <f t="shared" si="11"/>
        <v>357692.05</v>
      </c>
      <c r="K271" s="42">
        <f t="shared" si="11"/>
        <v>1138996.76</v>
      </c>
      <c r="L271" s="42">
        <f t="shared" si="11"/>
        <v>27279823.530000001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237444.2</v>
      </c>
      <c r="G276" s="18">
        <v>76108.509999999995</v>
      </c>
      <c r="H276" s="18">
        <v>11065.68</v>
      </c>
      <c r="I276" s="18">
        <v>35778.080000000002</v>
      </c>
      <c r="J276" s="18">
        <v>7389.85</v>
      </c>
      <c r="K276" s="18"/>
      <c r="L276" s="19">
        <f>SUM(F276:K276)</f>
        <v>367786.32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3000</v>
      </c>
      <c r="G277" s="18"/>
      <c r="H277" s="18">
        <v>3650.69</v>
      </c>
      <c r="I277" s="18">
        <v>15045.19</v>
      </c>
      <c r="J277" s="18">
        <v>13689.52</v>
      </c>
      <c r="K277" s="18"/>
      <c r="L277" s="19">
        <f>SUM(F277:K277)</f>
        <v>35385.4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11011.18</v>
      </c>
      <c r="G279" s="18">
        <v>2513.0100000000002</v>
      </c>
      <c r="H279" s="18"/>
      <c r="I279" s="18">
        <v>1168.0899999999999</v>
      </c>
      <c r="J279" s="18"/>
      <c r="K279" s="18"/>
      <c r="L279" s="19">
        <f>SUM(F279:K279)</f>
        <v>14692.28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185995.19</v>
      </c>
      <c r="G281" s="18">
        <v>62089.8</v>
      </c>
      <c r="H281" s="18">
        <v>51352.51</v>
      </c>
      <c r="I281" s="18"/>
      <c r="J281" s="18">
        <v>1437</v>
      </c>
      <c r="K281" s="18"/>
      <c r="L281" s="19">
        <f t="shared" ref="L281:L287" si="12">SUM(F281:K281)</f>
        <v>300874.5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105567.23</v>
      </c>
      <c r="G282" s="18">
        <v>27520.46</v>
      </c>
      <c r="H282" s="18">
        <f>119937.35-241.54</f>
        <v>119695.81000000001</v>
      </c>
      <c r="I282" s="18">
        <v>16809.11</v>
      </c>
      <c r="J282" s="18">
        <v>21720.81</v>
      </c>
      <c r="K282" s="18">
        <v>2603.89</v>
      </c>
      <c r="L282" s="19">
        <f t="shared" si="12"/>
        <v>293917.31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33700.33</v>
      </c>
      <c r="G283" s="18">
        <v>11394.27</v>
      </c>
      <c r="H283" s="18">
        <v>5987.5</v>
      </c>
      <c r="I283" s="18">
        <v>1012.45</v>
      </c>
      <c r="J283" s="18"/>
      <c r="K283" s="18"/>
      <c r="L283" s="19">
        <f t="shared" si="12"/>
        <v>52094.55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>
        <v>4363.49</v>
      </c>
      <c r="G285" s="18">
        <v>2578.46</v>
      </c>
      <c r="H285" s="18"/>
      <c r="I285" s="18"/>
      <c r="J285" s="18"/>
      <c r="K285" s="18">
        <v>7815.73</v>
      </c>
      <c r="L285" s="19">
        <f t="shared" si="12"/>
        <v>14757.68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5254.63</v>
      </c>
      <c r="I287" s="18"/>
      <c r="J287" s="18"/>
      <c r="K287" s="18"/>
      <c r="L287" s="19">
        <f t="shared" si="12"/>
        <v>5254.63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581081.62</v>
      </c>
      <c r="G290" s="42">
        <f t="shared" si="13"/>
        <v>182204.50999999998</v>
      </c>
      <c r="H290" s="42">
        <f t="shared" si="13"/>
        <v>197006.82</v>
      </c>
      <c r="I290" s="42">
        <f t="shared" si="13"/>
        <v>69812.92</v>
      </c>
      <c r="J290" s="42">
        <f t="shared" si="13"/>
        <v>44237.180000000008</v>
      </c>
      <c r="K290" s="42">
        <f t="shared" si="13"/>
        <v>10419.619999999999</v>
      </c>
      <c r="L290" s="41">
        <f t="shared" si="13"/>
        <v>1084762.67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v>1315</v>
      </c>
      <c r="G316" s="18">
        <v>258.99</v>
      </c>
      <c r="H316" s="18">
        <v>19303.57</v>
      </c>
      <c r="I316" s="18">
        <v>14525.03</v>
      </c>
      <c r="J316" s="18">
        <v>23893.27</v>
      </c>
      <c r="K316" s="18">
        <v>1843.54</v>
      </c>
      <c r="L316" s="19">
        <f>SUM(F316:K316)</f>
        <v>61139.4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>
        <v>2908.99</v>
      </c>
      <c r="G323" s="18">
        <f>1718.98-369.04</f>
        <v>1349.94</v>
      </c>
      <c r="H323" s="18"/>
      <c r="I323" s="18"/>
      <c r="J323" s="18"/>
      <c r="K323" s="18">
        <v>5210.4799999999996</v>
      </c>
      <c r="L323" s="19">
        <f t="shared" si="16"/>
        <v>9469.41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4223.99</v>
      </c>
      <c r="G328" s="42">
        <f t="shared" si="17"/>
        <v>1608.93</v>
      </c>
      <c r="H328" s="42">
        <f t="shared" si="17"/>
        <v>19303.57</v>
      </c>
      <c r="I328" s="42">
        <f t="shared" si="17"/>
        <v>14525.03</v>
      </c>
      <c r="J328" s="42">
        <f t="shared" si="17"/>
        <v>23893.27</v>
      </c>
      <c r="K328" s="42">
        <f t="shared" si="17"/>
        <v>7054.0199999999995</v>
      </c>
      <c r="L328" s="41">
        <f t="shared" si="17"/>
        <v>70608.81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>
        <v>58598.13</v>
      </c>
      <c r="I336" s="18"/>
      <c r="J336" s="18">
        <v>5293.54</v>
      </c>
      <c r="K336" s="18"/>
      <c r="L336" s="19">
        <f t="shared" si="18"/>
        <v>63891.67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58598.13</v>
      </c>
      <c r="I337" s="41">
        <f t="shared" si="19"/>
        <v>0</v>
      </c>
      <c r="J337" s="41">
        <f t="shared" si="19"/>
        <v>5293.54</v>
      </c>
      <c r="K337" s="41">
        <f t="shared" si="19"/>
        <v>0</v>
      </c>
      <c r="L337" s="41">
        <f t="shared" si="18"/>
        <v>63891.67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585305.61</v>
      </c>
      <c r="G338" s="41">
        <f t="shared" si="20"/>
        <v>183813.43999999997</v>
      </c>
      <c r="H338" s="41">
        <f t="shared" si="20"/>
        <v>274908.52</v>
      </c>
      <c r="I338" s="41">
        <f t="shared" si="20"/>
        <v>84337.95</v>
      </c>
      <c r="J338" s="41">
        <f t="shared" si="20"/>
        <v>73423.990000000005</v>
      </c>
      <c r="K338" s="41">
        <f t="shared" si="20"/>
        <v>17473.64</v>
      </c>
      <c r="L338" s="41">
        <f t="shared" si="20"/>
        <v>1219263.1499999999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585305.61</v>
      </c>
      <c r="G352" s="41">
        <f>G338</f>
        <v>183813.43999999997</v>
      </c>
      <c r="H352" s="41">
        <f>H338</f>
        <v>274908.52</v>
      </c>
      <c r="I352" s="41">
        <f>I338</f>
        <v>84337.95</v>
      </c>
      <c r="J352" s="41">
        <f>J338</f>
        <v>73423.990000000005</v>
      </c>
      <c r="K352" s="47">
        <f>K338+K351</f>
        <v>17473.64</v>
      </c>
      <c r="L352" s="41">
        <f>L338+L351</f>
        <v>1219263.1499999999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223976.93</v>
      </c>
      <c r="G358" s="18">
        <v>54030.15</v>
      </c>
      <c r="H358" s="18">
        <v>94240.45</v>
      </c>
      <c r="I358" s="18">
        <f>31939.21+146948.18+13456.33</f>
        <v>192343.71999999997</v>
      </c>
      <c r="J358" s="18">
        <v>16141.07</v>
      </c>
      <c r="K358" s="18"/>
      <c r="L358" s="13">
        <f>SUM(F358:K358)</f>
        <v>580732.31999999995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90048.92</v>
      </c>
      <c r="G360" s="18">
        <v>49388.5</v>
      </c>
      <c r="H360" s="18">
        <v>12115.2</v>
      </c>
      <c r="I360" s="18">
        <f>75700.58+1250.99+6932.05+601.19</f>
        <v>84484.810000000012</v>
      </c>
      <c r="J360" s="18">
        <v>1250.99</v>
      </c>
      <c r="K360" s="18"/>
      <c r="L360" s="19">
        <f>SUM(F360:K360)</f>
        <v>237288.41999999998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314025.84999999998</v>
      </c>
      <c r="G362" s="47">
        <f t="shared" si="22"/>
        <v>103418.65</v>
      </c>
      <c r="H362" s="47">
        <f t="shared" si="22"/>
        <v>106355.65</v>
      </c>
      <c r="I362" s="47">
        <f t="shared" si="22"/>
        <v>276828.52999999997</v>
      </c>
      <c r="J362" s="47">
        <f t="shared" si="22"/>
        <v>17392.060000000001</v>
      </c>
      <c r="K362" s="47">
        <f t="shared" si="22"/>
        <v>0</v>
      </c>
      <c r="L362" s="47">
        <f t="shared" si="22"/>
        <v>818020.74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31939.21+100191.94</f>
        <v>132131.15</v>
      </c>
      <c r="G367" s="18">
        <v>46756.24</v>
      </c>
      <c r="H367" s="18">
        <v>75700.58</v>
      </c>
      <c r="I367" s="56">
        <f>SUM(F367:H367)</f>
        <v>254587.96999999997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9174.77</v>
      </c>
      <c r="G368" s="63">
        <v>4281.5600000000004</v>
      </c>
      <c r="H368" s="63">
        <f>1250.99+6932.05+601.19</f>
        <v>8784.23</v>
      </c>
      <c r="I368" s="56">
        <f>SUM(F368:H368)</f>
        <v>22240.560000000001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141305.91999999998</v>
      </c>
      <c r="G369" s="47">
        <f>SUM(G367:G368)</f>
        <v>51037.799999999996</v>
      </c>
      <c r="H369" s="47">
        <f>SUM(H367:H368)</f>
        <v>84484.81</v>
      </c>
      <c r="I369" s="47">
        <f>SUM(I367:I368)</f>
        <v>276828.52999999997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>
        <v>8444.0300000000007</v>
      </c>
      <c r="I388" s="18"/>
      <c r="J388" s="24" t="s">
        <v>289</v>
      </c>
      <c r="K388" s="24" t="s">
        <v>289</v>
      </c>
      <c r="L388" s="56">
        <f t="shared" si="25"/>
        <v>8444.0300000000007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>
        <v>104292.66</v>
      </c>
      <c r="H389" s="18"/>
      <c r="I389" s="18"/>
      <c r="J389" s="24" t="s">
        <v>289</v>
      </c>
      <c r="K389" s="24" t="s">
        <v>289</v>
      </c>
      <c r="L389" s="56">
        <f t="shared" si="25"/>
        <v>104292.66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104292.66</v>
      </c>
      <c r="H393" s="139">
        <f>SUM(H387:H392)</f>
        <v>8444.0300000000007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112736.69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>
        <v>4905.3999999999996</v>
      </c>
      <c r="I395" s="18"/>
      <c r="J395" s="24" t="s">
        <v>289</v>
      </c>
      <c r="K395" s="24" t="s">
        <v>289</v>
      </c>
      <c r="L395" s="56">
        <f t="shared" ref="L395:L400" si="26">SUM(F395:K395)</f>
        <v>4905.3999999999996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3251.38</v>
      </c>
      <c r="I397" s="18"/>
      <c r="J397" s="24" t="s">
        <v>289</v>
      </c>
      <c r="K397" s="24" t="s">
        <v>289</v>
      </c>
      <c r="L397" s="56">
        <f t="shared" si="26"/>
        <v>3251.38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f>240.85+2025.5</f>
        <v>2266.35</v>
      </c>
      <c r="I400" s="18"/>
      <c r="J400" s="24" t="s">
        <v>289</v>
      </c>
      <c r="K400" s="24" t="s">
        <v>289</v>
      </c>
      <c r="L400" s="56">
        <f t="shared" si="26"/>
        <v>2266.35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10423.129999999999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10423.129999999999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104292.66</v>
      </c>
      <c r="H408" s="47">
        <f>H393+H401+H407</f>
        <v>18867.16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123159.82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>
        <v>253873</v>
      </c>
      <c r="L415" s="56">
        <f t="shared" si="27"/>
        <v>253873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253873</v>
      </c>
      <c r="L419" s="47">
        <f t="shared" si="28"/>
        <v>253873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253873</v>
      </c>
      <c r="L434" s="47">
        <f t="shared" si="32"/>
        <v>253873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963128.65</v>
      </c>
      <c r="G440" s="18">
        <f>2340815.77-963128.65</f>
        <v>1377687.12</v>
      </c>
      <c r="H440" s="18"/>
      <c r="I440" s="56">
        <f t="shared" si="33"/>
        <v>2340815.77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963128.65</v>
      </c>
      <c r="G446" s="13">
        <f>SUM(G439:G445)</f>
        <v>1377687.12</v>
      </c>
      <c r="H446" s="13">
        <f>SUM(H439:H445)</f>
        <v>0</v>
      </c>
      <c r="I446" s="13">
        <f>SUM(I439:I445)</f>
        <v>2340815.77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963128.65</v>
      </c>
      <c r="G459" s="18">
        <v>1377687.12</v>
      </c>
      <c r="H459" s="18"/>
      <c r="I459" s="56">
        <f t="shared" si="34"/>
        <v>2340815.77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963128.65</v>
      </c>
      <c r="G460" s="83">
        <f>SUM(G454:G459)</f>
        <v>1377687.12</v>
      </c>
      <c r="H460" s="83">
        <f>SUM(H454:H459)</f>
        <v>0</v>
      </c>
      <c r="I460" s="83">
        <f>SUM(I454:I459)</f>
        <v>2340815.77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963128.65</v>
      </c>
      <c r="G461" s="42">
        <f>G452+G460</f>
        <v>1377687.12</v>
      </c>
      <c r="H461" s="42">
        <f>H452+H460</f>
        <v>0</v>
      </c>
      <c r="I461" s="42">
        <f>I452+I460</f>
        <v>2340815.77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37563.199999999997</v>
      </c>
      <c r="G465" s="18">
        <v>0</v>
      </c>
      <c r="H465" s="18">
        <v>115100.9</v>
      </c>
      <c r="I465" s="18"/>
      <c r="J465" s="18">
        <v>2471528.9500000002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27463185.7-20000</f>
        <v>27443185.699999999</v>
      </c>
      <c r="G468" s="18">
        <v>818020.74</v>
      </c>
      <c r="H468" s="18">
        <v>1161855.3400000001</v>
      </c>
      <c r="I468" s="18"/>
      <c r="J468" s="18">
        <f>104292.66+18867.16</f>
        <v>123159.82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>
        <f>104292.66-F465</f>
        <v>66729.460000000006</v>
      </c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27509915.16</v>
      </c>
      <c r="G470" s="53">
        <f>SUM(G468:G469)</f>
        <v>818020.74</v>
      </c>
      <c r="H470" s="53">
        <f>SUM(H468:H469)</f>
        <v>1161855.3400000001</v>
      </c>
      <c r="I470" s="53">
        <f>SUM(I468:I469)</f>
        <v>0</v>
      </c>
      <c r="J470" s="53">
        <f>SUM(J468:J469)</f>
        <v>123159.82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27298816.85-18993.32</f>
        <v>27279823.530000001</v>
      </c>
      <c r="G472" s="18">
        <v>818020.74</v>
      </c>
      <c r="H472" s="18">
        <f>1222510.2-3247.05</f>
        <v>1219263.1499999999</v>
      </c>
      <c r="I472" s="18"/>
      <c r="J472" s="18">
        <v>253873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27279823.530000001</v>
      </c>
      <c r="G474" s="53">
        <f>SUM(G472:G473)</f>
        <v>818020.74</v>
      </c>
      <c r="H474" s="53">
        <f>SUM(H472:H473)</f>
        <v>1219263.1499999999</v>
      </c>
      <c r="I474" s="53">
        <f>SUM(I472:I473)</f>
        <v>0</v>
      </c>
      <c r="J474" s="53">
        <f>SUM(J472:J473)</f>
        <v>253873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267654.82999999821</v>
      </c>
      <c r="G476" s="53">
        <f>(G465+G470)- G474</f>
        <v>0</v>
      </c>
      <c r="H476" s="53">
        <f>(H465+H470)- H474</f>
        <v>57693.090000000084</v>
      </c>
      <c r="I476" s="53">
        <f>(I465+I470)- I474</f>
        <v>0</v>
      </c>
      <c r="J476" s="53">
        <f>(J465+J470)- J474</f>
        <v>2340815.77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 t="s">
        <v>912</v>
      </c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18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913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914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1911965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0.05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1000000</v>
      </c>
      <c r="G495" s="18"/>
      <c r="H495" s="18"/>
      <c r="I495" s="18"/>
      <c r="J495" s="18"/>
      <c r="K495" s="53">
        <f>SUM(F495:J495)</f>
        <v>1000000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100000</v>
      </c>
      <c r="G497" s="18"/>
      <c r="H497" s="18"/>
      <c r="I497" s="18"/>
      <c r="J497" s="18"/>
      <c r="K497" s="53">
        <f t="shared" si="35"/>
        <v>100000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F495-F497</f>
        <v>900000</v>
      </c>
      <c r="G498" s="204"/>
      <c r="H498" s="204"/>
      <c r="I498" s="204"/>
      <c r="J498" s="204"/>
      <c r="K498" s="205">
        <f t="shared" si="35"/>
        <v>900000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f>219217.59-36265</f>
        <v>182952.59</v>
      </c>
      <c r="G499" s="18"/>
      <c r="H499" s="18"/>
      <c r="I499" s="18"/>
      <c r="J499" s="18"/>
      <c r="K499" s="53">
        <f t="shared" si="35"/>
        <v>182952.59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1082952.5900000001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1082952.5900000001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100000</v>
      </c>
      <c r="G501" s="204"/>
      <c r="H501" s="204"/>
      <c r="I501" s="204"/>
      <c r="J501" s="204"/>
      <c r="K501" s="205">
        <f t="shared" si="35"/>
        <v>100000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36265</v>
      </c>
      <c r="G502" s="18"/>
      <c r="H502" s="18"/>
      <c r="I502" s="18"/>
      <c r="J502" s="18"/>
      <c r="K502" s="53">
        <f t="shared" si="35"/>
        <v>36265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136265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136265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647538.14+1119329.81-77824</f>
        <v>1689043.9500000002</v>
      </c>
      <c r="G521" s="18">
        <f>603153.16-19990.56-60000</f>
        <v>523162.6</v>
      </c>
      <c r="H521" s="18">
        <f>4006.33+313443.06</f>
        <v>317449.39</v>
      </c>
      <c r="I521" s="18">
        <v>24756.77</v>
      </c>
      <c r="J521" s="18">
        <v>19072.02</v>
      </c>
      <c r="K521" s="18"/>
      <c r="L521" s="88">
        <f>SUM(F521:K521)</f>
        <v>2573484.7300000004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286850+327600.81+26201</f>
        <v>640651.81000000006</v>
      </c>
      <c r="G523" s="18">
        <f>263349.95</f>
        <v>263349.95</v>
      </c>
      <c r="H523" s="18">
        <f>618284.37+419.77</f>
        <v>618704.14</v>
      </c>
      <c r="I523" s="18">
        <v>10671.7</v>
      </c>
      <c r="J523" s="18">
        <v>7853</v>
      </c>
      <c r="K523" s="18">
        <v>4517.91</v>
      </c>
      <c r="L523" s="88">
        <f>SUM(F523:K523)</f>
        <v>1545748.5099999998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2329695.7600000002</v>
      </c>
      <c r="G524" s="108">
        <f t="shared" ref="G524:L524" si="36">SUM(G521:G523)</f>
        <v>786512.55</v>
      </c>
      <c r="H524" s="108">
        <f t="shared" si="36"/>
        <v>936153.53</v>
      </c>
      <c r="I524" s="108">
        <f t="shared" si="36"/>
        <v>35428.47</v>
      </c>
      <c r="J524" s="108">
        <f t="shared" si="36"/>
        <v>26925.02</v>
      </c>
      <c r="K524" s="108">
        <f t="shared" si="36"/>
        <v>4517.91</v>
      </c>
      <c r="L524" s="89">
        <f t="shared" si="36"/>
        <v>4119233.24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629860.69+231104.76+25666.7</f>
        <v>886632.14999999991</v>
      </c>
      <c r="G526" s="18">
        <f>241358.1+79990.56</f>
        <v>321348.66000000003</v>
      </c>
      <c r="H526" s="18">
        <f>103203.57-26357.9+24701.28</f>
        <v>101546.95000000001</v>
      </c>
      <c r="I526" s="18">
        <v>13003.5</v>
      </c>
      <c r="J526" s="18">
        <v>6048.92</v>
      </c>
      <c r="K526" s="18">
        <v>875</v>
      </c>
      <c r="L526" s="88">
        <f>SUM(F526:K526)</f>
        <v>1329455.18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369918.18</v>
      </c>
      <c r="G528" s="18">
        <v>141799.49</v>
      </c>
      <c r="H528" s="18">
        <f>26357.9+234.44</f>
        <v>26592.34</v>
      </c>
      <c r="I528" s="18"/>
      <c r="J528" s="18"/>
      <c r="K528" s="18"/>
      <c r="L528" s="88">
        <f>SUM(F528:K528)</f>
        <v>538310.01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1256550.3299999998</v>
      </c>
      <c r="G529" s="89">
        <f t="shared" ref="G529:L529" si="37">SUM(G526:G528)</f>
        <v>463148.15</v>
      </c>
      <c r="H529" s="89">
        <f t="shared" si="37"/>
        <v>128139.29000000001</v>
      </c>
      <c r="I529" s="89">
        <f t="shared" si="37"/>
        <v>13003.5</v>
      </c>
      <c r="J529" s="89">
        <f t="shared" si="37"/>
        <v>6048.92</v>
      </c>
      <c r="K529" s="89">
        <f t="shared" si="37"/>
        <v>875</v>
      </c>
      <c r="L529" s="89">
        <f t="shared" si="37"/>
        <v>1867765.19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f>158954*0.63</f>
        <v>100141.02</v>
      </c>
      <c r="G531" s="18">
        <f>47614*0.63</f>
        <v>29996.82</v>
      </c>
      <c r="H531" s="18"/>
      <c r="I531" s="18"/>
      <c r="J531" s="18"/>
      <c r="K531" s="18"/>
      <c r="L531" s="88">
        <f>SUM(F531:K531)</f>
        <v>130137.84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f>158954-100141.02</f>
        <v>58812.979999999996</v>
      </c>
      <c r="G533" s="18">
        <f>47614-G531</f>
        <v>17617.18</v>
      </c>
      <c r="H533" s="18"/>
      <c r="I533" s="18"/>
      <c r="J533" s="18"/>
      <c r="K533" s="18"/>
      <c r="L533" s="88">
        <f>SUM(F533:K533)</f>
        <v>76430.16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158954</v>
      </c>
      <c r="G534" s="89">
        <f t="shared" ref="G534:L534" si="38">SUM(G531:G533)</f>
        <v>47614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206568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74182.41</v>
      </c>
      <c r="G541" s="18">
        <v>6843.24</v>
      </c>
      <c r="H541" s="18">
        <v>93674.68</v>
      </c>
      <c r="I541" s="18"/>
      <c r="J541" s="18"/>
      <c r="K541" s="18"/>
      <c r="L541" s="88">
        <f>SUM(F541:K541)</f>
        <v>174700.33000000002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40383.550000000003</v>
      </c>
      <c r="G543" s="18">
        <v>4131.24</v>
      </c>
      <c r="H543" s="18">
        <v>55015.29</v>
      </c>
      <c r="I543" s="18"/>
      <c r="J543" s="18"/>
      <c r="K543" s="18"/>
      <c r="L543" s="88">
        <f>SUM(F543:K543)</f>
        <v>99530.08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114565.96</v>
      </c>
      <c r="G544" s="193">
        <f t="shared" ref="G544:L544" si="40">SUM(G541:G543)</f>
        <v>10974.48</v>
      </c>
      <c r="H544" s="193">
        <f t="shared" si="40"/>
        <v>148689.97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274230.41000000003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3859766.05</v>
      </c>
      <c r="G545" s="89">
        <f t="shared" ref="G545:L545" si="41">G524+G529+G534+G539+G544</f>
        <v>1308249.1800000002</v>
      </c>
      <c r="H545" s="89">
        <f t="shared" si="41"/>
        <v>1212982.79</v>
      </c>
      <c r="I545" s="89">
        <f t="shared" si="41"/>
        <v>48431.97</v>
      </c>
      <c r="J545" s="89">
        <f t="shared" si="41"/>
        <v>32973.94</v>
      </c>
      <c r="K545" s="89">
        <f t="shared" si="41"/>
        <v>5392.91</v>
      </c>
      <c r="L545" s="89">
        <f t="shared" si="41"/>
        <v>6467796.8399999999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2573484.7300000004</v>
      </c>
      <c r="G549" s="87">
        <f>L526</f>
        <v>1329455.18</v>
      </c>
      <c r="H549" s="87">
        <f>L531</f>
        <v>130137.84</v>
      </c>
      <c r="I549" s="87">
        <f>L536</f>
        <v>0</v>
      </c>
      <c r="J549" s="87">
        <f>L541</f>
        <v>174700.33000000002</v>
      </c>
      <c r="K549" s="87">
        <f>SUM(F549:J549)</f>
        <v>4207778.08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1545748.5099999998</v>
      </c>
      <c r="G551" s="87">
        <f>L528</f>
        <v>538310.01</v>
      </c>
      <c r="H551" s="87">
        <f>L533</f>
        <v>76430.16</v>
      </c>
      <c r="I551" s="87">
        <f>L538</f>
        <v>0</v>
      </c>
      <c r="J551" s="87">
        <f>L543</f>
        <v>99530.08</v>
      </c>
      <c r="K551" s="87">
        <f>SUM(F551:J551)</f>
        <v>2260018.7599999998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4119233.24</v>
      </c>
      <c r="G552" s="89">
        <f t="shared" si="42"/>
        <v>1867765.19</v>
      </c>
      <c r="H552" s="89">
        <f t="shared" si="42"/>
        <v>206568</v>
      </c>
      <c r="I552" s="89">
        <f t="shared" si="42"/>
        <v>0</v>
      </c>
      <c r="J552" s="89">
        <f t="shared" si="42"/>
        <v>274230.41000000003</v>
      </c>
      <c r="K552" s="89">
        <f t="shared" si="42"/>
        <v>6467796.8399999999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33362</v>
      </c>
      <c r="G579" s="18"/>
      <c r="H579" s="18">
        <v>804</v>
      </c>
      <c r="I579" s="87">
        <f t="shared" si="47"/>
        <v>34166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>
        <v>15120</v>
      </c>
      <c r="I580" s="87">
        <f t="shared" si="47"/>
        <v>15120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280081.06</v>
      </c>
      <c r="G582" s="18"/>
      <c r="H582" s="18">
        <v>615725.37</v>
      </c>
      <c r="I582" s="87">
        <f t="shared" si="47"/>
        <v>895806.42999999993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33017.300000000003</v>
      </c>
      <c r="I584" s="87">
        <f t="shared" si="47"/>
        <v>33017.300000000003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>
        <v>169737.5</v>
      </c>
      <c r="I585" s="87">
        <f t="shared" si="47"/>
        <v>169737.5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559163.62+59146.53</f>
        <v>618310.15</v>
      </c>
      <c r="I591" s="18"/>
      <c r="J591" s="18">
        <f>258563.93-59146.53</f>
        <v>199417.4</v>
      </c>
      <c r="K591" s="104">
        <f t="shared" ref="K591:K597" si="48">SUM(H591:J591)</f>
        <v>817727.55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L541</f>
        <v>174700.33000000002</v>
      </c>
      <c r="I592" s="18"/>
      <c r="J592" s="18">
        <f>L543</f>
        <v>99530.08</v>
      </c>
      <c r="K592" s="104">
        <f t="shared" si="48"/>
        <v>274230.41000000003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>
        <v>9664.4500000000007</v>
      </c>
      <c r="I593" s="18"/>
      <c r="J593" s="18">
        <v>25990.46</v>
      </c>
      <c r="K593" s="104">
        <f t="shared" si="48"/>
        <v>35654.910000000003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13884.23</v>
      </c>
      <c r="I594" s="18"/>
      <c r="J594" s="18">
        <v>41090.480000000003</v>
      </c>
      <c r="K594" s="104">
        <f t="shared" si="48"/>
        <v>54974.710000000006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4333.87</v>
      </c>
      <c r="I595" s="18"/>
      <c r="J595" s="18">
        <v>2889.25</v>
      </c>
      <c r="K595" s="104">
        <f t="shared" si="48"/>
        <v>7223.12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820893.02999999991</v>
      </c>
      <c r="I598" s="108">
        <f>SUM(I591:I597)</f>
        <v>0</v>
      </c>
      <c r="J598" s="108">
        <f>SUM(J591:J597)</f>
        <v>368917.67</v>
      </c>
      <c r="K598" s="108">
        <f>SUM(K591:K597)</f>
        <v>1189810.7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263642.51</v>
      </c>
      <c r="I604" s="18"/>
      <c r="J604" s="18">
        <v>162179.99</v>
      </c>
      <c r="K604" s="104">
        <f>SUM(H604:J604)</f>
        <v>425822.5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263642.51</v>
      </c>
      <c r="I605" s="108">
        <f>SUM(I602:I604)</f>
        <v>0</v>
      </c>
      <c r="J605" s="108">
        <f>SUM(J602:J604)</f>
        <v>162179.99</v>
      </c>
      <c r="K605" s="108">
        <f>SUM(K602:K604)</f>
        <v>425822.5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2696655.91</v>
      </c>
      <c r="H617" s="109">
        <f>SUM(F52)</f>
        <v>2696655.91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15210.080000000002</v>
      </c>
      <c r="H618" s="109">
        <f>SUM(G52)</f>
        <v>15210.08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57693.090000000018</v>
      </c>
      <c r="H619" s="109">
        <f>SUM(H52)</f>
        <v>57693.09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2340815.77</v>
      </c>
      <c r="H621" s="109">
        <f>SUM(J52)</f>
        <v>2340815.77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267654.83</v>
      </c>
      <c r="H622" s="109">
        <f>F476</f>
        <v>267654.82999999821</v>
      </c>
      <c r="I622" s="121" t="s">
        <v>101</v>
      </c>
      <c r="J622" s="109">
        <f t="shared" ref="J622:J655" si="50">G622-H622</f>
        <v>1.8044374883174896E-9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57693.09</v>
      </c>
      <c r="H624" s="109">
        <f>H476</f>
        <v>57693.090000000084</v>
      </c>
      <c r="I624" s="121" t="s">
        <v>103</v>
      </c>
      <c r="J624" s="109">
        <f t="shared" si="50"/>
        <v>-8.7311491370201111E-11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2340815.77</v>
      </c>
      <c r="H626" s="109">
        <f>J476</f>
        <v>2340815.77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27443185.700000003</v>
      </c>
      <c r="H627" s="104">
        <f>SUM(F468)</f>
        <v>27443185.699999999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818020.74</v>
      </c>
      <c r="H628" s="104">
        <f>SUM(G468)</f>
        <v>818020.74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1161855.3400000001</v>
      </c>
      <c r="H629" s="104">
        <f>SUM(H468)</f>
        <v>1161855.3400000001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123159.82</v>
      </c>
      <c r="H631" s="104">
        <f>SUM(J468)</f>
        <v>123159.82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27279823.530000001</v>
      </c>
      <c r="H632" s="104">
        <f>SUM(F472)</f>
        <v>27279823.530000001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1219263.1499999999</v>
      </c>
      <c r="H633" s="104">
        <f>SUM(H472)</f>
        <v>1219263.1499999999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276828.52999999997</v>
      </c>
      <c r="H634" s="104">
        <f>I369</f>
        <v>276828.52999999997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818020.74</v>
      </c>
      <c r="H635" s="104">
        <f>SUM(G472)</f>
        <v>818020.74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123159.82</v>
      </c>
      <c r="H637" s="164">
        <f>SUM(J468)</f>
        <v>123159.82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253873</v>
      </c>
      <c r="H638" s="164">
        <f>SUM(J472)</f>
        <v>253873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963128.65</v>
      </c>
      <c r="H639" s="104">
        <f>SUM(F461)</f>
        <v>963128.65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1377687.12</v>
      </c>
      <c r="H640" s="104">
        <f>SUM(G461)</f>
        <v>1377687.12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2340815.77</v>
      </c>
      <c r="H642" s="104">
        <f>SUM(I461)</f>
        <v>2340815.77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18867.16</v>
      </c>
      <c r="H644" s="104">
        <f>H408</f>
        <v>18867.16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104292.66</v>
      </c>
      <c r="H645" s="104">
        <f>G408</f>
        <v>104292.66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123159.82</v>
      </c>
      <c r="H646" s="104">
        <f>L408</f>
        <v>123159.82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1189810.7</v>
      </c>
      <c r="H647" s="104">
        <f>L208+L226+L244</f>
        <v>1189810.7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425822.5</v>
      </c>
      <c r="H648" s="104">
        <f>(J257+J338)-(J255+J336)</f>
        <v>425822.5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820893.02999999991</v>
      </c>
      <c r="H649" s="104">
        <f>H598</f>
        <v>820893.02999999991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368917.67</v>
      </c>
      <c r="H651" s="104">
        <f>J598</f>
        <v>368917.67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227376.24</v>
      </c>
      <c r="H652" s="104">
        <f>K263+K345</f>
        <v>227376.24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104292.66</v>
      </c>
      <c r="H655" s="104">
        <f>K266+K347</f>
        <v>104292.66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19725794.020000003</v>
      </c>
      <c r="G660" s="19">
        <f>(L229+L309+L359)</f>
        <v>0</v>
      </c>
      <c r="H660" s="19">
        <f>(L247+L328+L360)</f>
        <v>8126401.5499999989</v>
      </c>
      <c r="I660" s="19">
        <f>SUM(F660:H660)</f>
        <v>27852195.57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154529.22211509894</v>
      </c>
      <c r="G661" s="19">
        <f>(L359/IF(SUM(L358:L360)=0,1,SUM(L358:L360))*(SUM(G97:G110)))</f>
        <v>0</v>
      </c>
      <c r="H661" s="19">
        <f>(L360/IF(SUM(L358:L360)=0,1,SUM(L358:L360))*(SUM(G97:G110)))</f>
        <v>63140.957884901058</v>
      </c>
      <c r="I661" s="19">
        <f>SUM(F661:H661)</f>
        <v>217670.18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820806.78999999992</v>
      </c>
      <c r="G662" s="19">
        <f>(L226+L306)-(J226+J306)</f>
        <v>0</v>
      </c>
      <c r="H662" s="19">
        <f>(L244+L325)-(J244+J325)</f>
        <v>368917.67</v>
      </c>
      <c r="I662" s="19">
        <f>SUM(F662:H662)</f>
        <v>1189724.46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577085.57000000007</v>
      </c>
      <c r="G663" s="199">
        <f>SUM(G575:G587)+SUM(I602:I604)+L612</f>
        <v>0</v>
      </c>
      <c r="H663" s="199">
        <f>SUM(H575:H587)+SUM(J602:J604)+L613</f>
        <v>996584.16</v>
      </c>
      <c r="I663" s="19">
        <f>SUM(F663:H663)</f>
        <v>1573669.73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18173372.437884904</v>
      </c>
      <c r="G664" s="19">
        <f>G660-SUM(G661:G663)</f>
        <v>0</v>
      </c>
      <c r="H664" s="19">
        <f>H660-SUM(H661:H663)</f>
        <v>6697758.7621150976</v>
      </c>
      <c r="I664" s="19">
        <f>I660-SUM(I661:I663)</f>
        <v>24871131.199999999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1005.42</v>
      </c>
      <c r="G665" s="248"/>
      <c r="H665" s="248">
        <v>513.4</v>
      </c>
      <c r="I665" s="19">
        <f>SUM(F665:H665)</f>
        <v>1518.82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18075.400000000001</v>
      </c>
      <c r="G667" s="19" t="e">
        <f>ROUND(G664/G665,2)</f>
        <v>#DIV/0!</v>
      </c>
      <c r="H667" s="19">
        <f>ROUND(H664/H665,2)</f>
        <v>13045.89</v>
      </c>
      <c r="I667" s="19">
        <f>ROUND(I664/I665,2)</f>
        <v>16375.3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-14.22</v>
      </c>
      <c r="I670" s="19">
        <f>SUM(F670:H670)</f>
        <v>-14.22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18075.400000000001</v>
      </c>
      <c r="G672" s="19" t="e">
        <f>ROUND((G664+G669)/(G665+G670),2)</f>
        <v>#DIV/0!</v>
      </c>
      <c r="H672" s="19">
        <f>ROUND((H664+H669)/(H665+H670),2)</f>
        <v>13417.52</v>
      </c>
      <c r="I672" s="19">
        <f>ROUND((I664+I669)/(I665+I670),2)</f>
        <v>16530.060000000001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1" sqref="B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Fall Mtn Regional - SAU 60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6424550.4799999995</v>
      </c>
      <c r="C9" s="229">
        <f>'DOE25'!G197+'DOE25'!G215+'DOE25'!G233+'DOE25'!G276+'DOE25'!G295+'DOE25'!G314</f>
        <v>3076141.4899999998</v>
      </c>
    </row>
    <row r="10" spans="1:3" x14ac:dyDescent="0.2">
      <c r="A10" t="s">
        <v>779</v>
      </c>
      <c r="B10" s="240">
        <f>5927449.69+237444.2</f>
        <v>6164893.8900000006</v>
      </c>
      <c r="C10" s="240">
        <f>3076141.49-38249.38-12218.47</f>
        <v>3025673.64</v>
      </c>
    </row>
    <row r="11" spans="1:3" x14ac:dyDescent="0.2">
      <c r="A11" t="s">
        <v>780</v>
      </c>
      <c r="B11" s="240">
        <v>118402.62</v>
      </c>
      <c r="C11" s="240">
        <v>38249.379999999997</v>
      </c>
    </row>
    <row r="12" spans="1:3" x14ac:dyDescent="0.2">
      <c r="A12" t="s">
        <v>781</v>
      </c>
      <c r="B12" s="240">
        <v>141253.97</v>
      </c>
      <c r="C12" s="240">
        <v>12218.47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6424550.4800000004</v>
      </c>
      <c r="C13" s="231">
        <f>SUM(C10:C12)</f>
        <v>3076141.49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3721878.39</v>
      </c>
      <c r="C18" s="229">
        <f>'DOE25'!G198+'DOE25'!G216+'DOE25'!G234+'DOE25'!G277+'DOE25'!G296+'DOE25'!G315</f>
        <v>1317036.83</v>
      </c>
    </row>
    <row r="19" spans="1:3" x14ac:dyDescent="0.2">
      <c r="A19" t="s">
        <v>779</v>
      </c>
      <c r="B19" s="240">
        <v>1251955.78</v>
      </c>
      <c r="C19" s="240">
        <v>571228.25</v>
      </c>
    </row>
    <row r="20" spans="1:3" x14ac:dyDescent="0.2">
      <c r="A20" t="s">
        <v>780</v>
      </c>
      <c r="B20" s="240">
        <v>1578031.97</v>
      </c>
      <c r="C20" s="240">
        <v>372235.23</v>
      </c>
    </row>
    <row r="21" spans="1:3" x14ac:dyDescent="0.2">
      <c r="A21" t="s">
        <v>781</v>
      </c>
      <c r="B21" s="240">
        <v>891890.64</v>
      </c>
      <c r="C21" s="240">
        <v>373573.35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3721878.39</v>
      </c>
      <c r="C22" s="231">
        <f>SUM(C19:C21)</f>
        <v>1317036.83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411558.5</v>
      </c>
      <c r="C27" s="234">
        <f>'DOE25'!G199+'DOE25'!G217+'DOE25'!G235+'DOE25'!G278+'DOE25'!G297+'DOE25'!G316</f>
        <v>169331.69999999998</v>
      </c>
    </row>
    <row r="28" spans="1:3" x14ac:dyDescent="0.2">
      <c r="A28" t="s">
        <v>779</v>
      </c>
      <c r="B28" s="240">
        <v>411558.5</v>
      </c>
      <c r="C28" s="240">
        <v>169331.7</v>
      </c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411558.5</v>
      </c>
      <c r="C31" s="231">
        <f>SUM(C28:C30)</f>
        <v>169331.7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241871.18</v>
      </c>
      <c r="C36" s="235">
        <f>'DOE25'!G200+'DOE25'!G218+'DOE25'!G236+'DOE25'!G279+'DOE25'!G298+'DOE25'!G317</f>
        <v>57226.23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241871.18</v>
      </c>
      <c r="C39" s="240">
        <v>57226.23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241871.18</v>
      </c>
      <c r="C40" s="231">
        <f>SUM(C37:C39)</f>
        <v>57226.23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38" sqref="E3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Fall Mtn Regional - SAU 60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17168631.090000004</v>
      </c>
      <c r="D5" s="20">
        <f>SUM('DOE25'!L197:L200)+SUM('DOE25'!L215:L218)+SUM('DOE25'!L233:L236)-F5-G5</f>
        <v>16858943.760000005</v>
      </c>
      <c r="E5" s="243"/>
      <c r="F5" s="255">
        <f>SUM('DOE25'!J197:J200)+SUM('DOE25'!J215:J218)+SUM('DOE25'!J233:J236)</f>
        <v>286630.71999999997</v>
      </c>
      <c r="G5" s="53">
        <f>SUM('DOE25'!K197:K200)+SUM('DOE25'!K215:K218)+SUM('DOE25'!K233:K236)</f>
        <v>23056.61</v>
      </c>
      <c r="H5" s="259"/>
    </row>
    <row r="6" spans="1:9" x14ac:dyDescent="0.2">
      <c r="A6" s="32">
        <v>2100</v>
      </c>
      <c r="B6" t="s">
        <v>801</v>
      </c>
      <c r="C6" s="245">
        <f t="shared" si="0"/>
        <v>1263600.03</v>
      </c>
      <c r="D6" s="20">
        <f>'DOE25'!L202+'DOE25'!L220+'DOE25'!L238-F6-G6</f>
        <v>1258695.01</v>
      </c>
      <c r="E6" s="243"/>
      <c r="F6" s="255">
        <f>'DOE25'!J202+'DOE25'!J220+'DOE25'!J238</f>
        <v>4398.0199999999995</v>
      </c>
      <c r="G6" s="53">
        <f>'DOE25'!K202+'DOE25'!K220+'DOE25'!K238</f>
        <v>507</v>
      </c>
      <c r="H6" s="259"/>
    </row>
    <row r="7" spans="1:9" x14ac:dyDescent="0.2">
      <c r="A7" s="32">
        <v>2200</v>
      </c>
      <c r="B7" t="s">
        <v>834</v>
      </c>
      <c r="C7" s="245">
        <f t="shared" si="0"/>
        <v>1183892.21</v>
      </c>
      <c r="D7" s="20">
        <f>'DOE25'!L203+'DOE25'!L221+'DOE25'!L239-F7-G7</f>
        <v>1175792.05</v>
      </c>
      <c r="E7" s="243"/>
      <c r="F7" s="255">
        <f>'DOE25'!J203+'DOE25'!J221+'DOE25'!J239</f>
        <v>307.63</v>
      </c>
      <c r="G7" s="53">
        <f>'DOE25'!K203+'DOE25'!K221+'DOE25'!K239</f>
        <v>7792.53</v>
      </c>
      <c r="H7" s="259"/>
    </row>
    <row r="8" spans="1:9" x14ac:dyDescent="0.2">
      <c r="A8" s="32">
        <v>2300</v>
      </c>
      <c r="B8" t="s">
        <v>802</v>
      </c>
      <c r="C8" s="245">
        <f t="shared" si="0"/>
        <v>-3224.149999999996</v>
      </c>
      <c r="D8" s="243"/>
      <c r="E8" s="20">
        <f>'DOE25'!L204+'DOE25'!L222+'DOE25'!L240-F8-G8-D9-D11</f>
        <v>-17185.119999999995</v>
      </c>
      <c r="F8" s="255">
        <f>'DOE25'!J204+'DOE25'!J222+'DOE25'!J240</f>
        <v>4916.74</v>
      </c>
      <c r="G8" s="53">
        <f>'DOE25'!K204+'DOE25'!K222+'DOE25'!K240</f>
        <v>9044.23</v>
      </c>
      <c r="H8" s="259"/>
    </row>
    <row r="9" spans="1:9" x14ac:dyDescent="0.2">
      <c r="A9" s="32">
        <v>2310</v>
      </c>
      <c r="B9" t="s">
        <v>818</v>
      </c>
      <c r="C9" s="245">
        <f t="shared" si="0"/>
        <v>154166.98000000001</v>
      </c>
      <c r="D9" s="244">
        <v>154166.98000000001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21161.119999999999</v>
      </c>
      <c r="D10" s="243"/>
      <c r="E10" s="244">
        <v>21161.119999999999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330541.49</v>
      </c>
      <c r="D11" s="244">
        <v>330541.49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1497825.0100000002</v>
      </c>
      <c r="D12" s="20">
        <f>'DOE25'!L205+'DOE25'!L223+'DOE25'!L241-F12-G12</f>
        <v>1466270.0800000003</v>
      </c>
      <c r="E12" s="243"/>
      <c r="F12" s="255">
        <f>'DOE25'!J205+'DOE25'!J223+'DOE25'!J241</f>
        <v>26945.93</v>
      </c>
      <c r="G12" s="53">
        <f>'DOE25'!K205+'DOE25'!K223+'DOE25'!K241</f>
        <v>4609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324979.48</v>
      </c>
      <c r="D13" s="243"/>
      <c r="E13" s="20">
        <f>'DOE25'!L206+'DOE25'!L224+'DOE25'!L242-F13-G13</f>
        <v>322588.31999999995</v>
      </c>
      <c r="F13" s="255">
        <f>'DOE25'!J206+'DOE25'!J224+'DOE25'!J242</f>
        <v>527.95000000000005</v>
      </c>
      <c r="G13" s="53">
        <f>'DOE25'!K206+'DOE25'!K224+'DOE25'!K242</f>
        <v>1863.21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2768580.51</v>
      </c>
      <c r="D14" s="20">
        <f>'DOE25'!L207+'DOE25'!L225+'DOE25'!L243-F14-G14</f>
        <v>2739477.5999999996</v>
      </c>
      <c r="E14" s="243"/>
      <c r="F14" s="255">
        <f>'DOE25'!J207+'DOE25'!J225+'DOE25'!J243</f>
        <v>28624.19</v>
      </c>
      <c r="G14" s="53">
        <f>'DOE25'!K207+'DOE25'!K225+'DOE25'!K243</f>
        <v>478.72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1189810.7</v>
      </c>
      <c r="D15" s="20">
        <f>'DOE25'!L208+'DOE25'!L226+'DOE25'!L244-F15-G15</f>
        <v>1184469.8299999998</v>
      </c>
      <c r="E15" s="243"/>
      <c r="F15" s="255">
        <f>'DOE25'!J208+'DOE25'!J226+'DOE25'!J244</f>
        <v>5340.87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373266.38999999996</v>
      </c>
      <c r="D22" s="243"/>
      <c r="E22" s="243"/>
      <c r="F22" s="255">
        <f>'DOE25'!L255+'DOE25'!L336</f>
        <v>373266.38999999996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759976.56</v>
      </c>
      <c r="D25" s="243"/>
      <c r="E25" s="243"/>
      <c r="F25" s="258"/>
      <c r="G25" s="256"/>
      <c r="H25" s="257">
        <f>'DOE25'!L260+'DOE25'!L261+'DOE25'!L341+'DOE25'!L342</f>
        <v>759976.56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563432.77</v>
      </c>
      <c r="D29" s="20">
        <f>'DOE25'!L358+'DOE25'!L359+'DOE25'!L360-'DOE25'!I367-F29-G29</f>
        <v>546040.71</v>
      </c>
      <c r="E29" s="243"/>
      <c r="F29" s="255">
        <f>'DOE25'!J358+'DOE25'!J359+'DOE25'!J360</f>
        <v>17392.060000000001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1155371.48</v>
      </c>
      <c r="D31" s="20">
        <f>'DOE25'!L290+'DOE25'!L309+'DOE25'!L328+'DOE25'!L333+'DOE25'!L334+'DOE25'!L335-F31-G31</f>
        <v>1069767.3900000001</v>
      </c>
      <c r="E31" s="243"/>
      <c r="F31" s="255">
        <f>'DOE25'!J290+'DOE25'!J309+'DOE25'!J328+'DOE25'!J333+'DOE25'!J334+'DOE25'!J335</f>
        <v>68130.450000000012</v>
      </c>
      <c r="G31" s="53">
        <f>'DOE25'!K290+'DOE25'!K309+'DOE25'!K328+'DOE25'!K333+'DOE25'!K334+'DOE25'!K335</f>
        <v>17473.64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26784164.900000006</v>
      </c>
      <c r="E33" s="246">
        <f>SUM(E5:E31)</f>
        <v>326564.31999999995</v>
      </c>
      <c r="F33" s="246">
        <f>SUM(F5:F31)</f>
        <v>816480.95</v>
      </c>
      <c r="G33" s="246">
        <f>SUM(G5:G31)</f>
        <v>64824.939999999995</v>
      </c>
      <c r="H33" s="246">
        <f>SUM(H5:H31)</f>
        <v>759976.56</v>
      </c>
    </row>
    <row r="35" spans="2:8" ht="12" thickBot="1" x14ac:dyDescent="0.25">
      <c r="B35" s="253" t="s">
        <v>847</v>
      </c>
      <c r="D35" s="254">
        <f>E33</f>
        <v>326564.31999999995</v>
      </c>
      <c r="E35" s="249"/>
    </row>
    <row r="36" spans="2:8" ht="12" thickTop="1" x14ac:dyDescent="0.2">
      <c r="B36" t="s">
        <v>815</v>
      </c>
      <c r="D36" s="20">
        <f>D33</f>
        <v>26784164.900000006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Fall Mtn Regional - SAU 60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1926082.32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2340815.77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436449.32</v>
      </c>
      <c r="D11" s="95">
        <f>'DOE25'!G12</f>
        <v>2368.38</v>
      </c>
      <c r="E11" s="95">
        <f>'DOE25'!H12</f>
        <v>-408297.37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44177</v>
      </c>
      <c r="D12" s="95">
        <f>'DOE25'!G13</f>
        <v>12841.7</v>
      </c>
      <c r="E12" s="95">
        <f>'DOE25'!H13</f>
        <v>462089.45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15633.48</v>
      </c>
      <c r="D13" s="95">
        <f>'DOE25'!G14</f>
        <v>0</v>
      </c>
      <c r="E13" s="95">
        <f>'DOE25'!H14</f>
        <v>3901.01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274313.78999999998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2696655.91</v>
      </c>
      <c r="D18" s="41">
        <f>SUM(D8:D17)</f>
        <v>15210.080000000002</v>
      </c>
      <c r="E18" s="41">
        <f>SUM(E8:E17)</f>
        <v>57693.090000000018</v>
      </c>
      <c r="F18" s="41">
        <f>SUM(F8:F17)</f>
        <v>0</v>
      </c>
      <c r="G18" s="41">
        <f>SUM(G8:G17)</f>
        <v>2340815.77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379208.58</v>
      </c>
      <c r="D23" s="95">
        <f>'DOE25'!G24</f>
        <v>15210.08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1969247.8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80544.7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2429001.08</v>
      </c>
      <c r="D31" s="41">
        <f>SUM(D21:D30)</f>
        <v>15210.08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267654.83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57693.09</v>
      </c>
      <c r="F47" s="95">
        <f>'DOE25'!I48</f>
        <v>0</v>
      </c>
      <c r="G47" s="95">
        <f>'DOE25'!J48</f>
        <v>2340815.77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0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267654.83</v>
      </c>
      <c r="D50" s="41">
        <f>SUM(D34:D49)</f>
        <v>0</v>
      </c>
      <c r="E50" s="41">
        <f>SUM(E34:E49)</f>
        <v>57693.09</v>
      </c>
      <c r="F50" s="41">
        <f>SUM(F34:F49)</f>
        <v>0</v>
      </c>
      <c r="G50" s="41">
        <f>SUM(G34:G49)</f>
        <v>2340815.77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2696655.91</v>
      </c>
      <c r="D51" s="41">
        <f>D50+D31</f>
        <v>15210.08</v>
      </c>
      <c r="E51" s="41">
        <f>E50+E31</f>
        <v>57693.09</v>
      </c>
      <c r="F51" s="41">
        <f>F50+F31</f>
        <v>0</v>
      </c>
      <c r="G51" s="41">
        <f>G50+G31</f>
        <v>2340815.77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15159386.02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441711.75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30580.62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18867.16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217670.18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7930.09</v>
      </c>
      <c r="D61" s="95">
        <f>SUM('DOE25'!G98:G110)</f>
        <v>0</v>
      </c>
      <c r="E61" s="95">
        <f>SUM('DOE25'!H98:H110)</f>
        <v>22136.89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480222.46</v>
      </c>
      <c r="D62" s="130">
        <f>SUM(D57:D61)</f>
        <v>217670.18</v>
      </c>
      <c r="E62" s="130">
        <f>SUM(E57:E61)</f>
        <v>22136.89</v>
      </c>
      <c r="F62" s="130">
        <f>SUM(F57:F61)</f>
        <v>0</v>
      </c>
      <c r="G62" s="130">
        <f>SUM(G57:G61)</f>
        <v>18867.16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15639608.48</v>
      </c>
      <c r="D63" s="22">
        <f>D56+D62</f>
        <v>217670.18</v>
      </c>
      <c r="E63" s="22">
        <f>E56+E62</f>
        <v>22136.89</v>
      </c>
      <c r="F63" s="22">
        <f>F56+F62</f>
        <v>0</v>
      </c>
      <c r="G63" s="22">
        <f>G56+G62</f>
        <v>18867.16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8238046.71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2263331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3763.96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10505141.670000002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558750.65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120211.86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116225.76000000001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15734.73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795188.27</v>
      </c>
      <c r="D78" s="130">
        <f>SUM(D72:D77)</f>
        <v>15734.73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11300329.940000001</v>
      </c>
      <c r="D81" s="130">
        <f>SUM(D79:D80)+D78+D70</f>
        <v>15734.73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251442.02</v>
      </c>
      <c r="D88" s="95">
        <f>SUM('DOE25'!G153:G161)</f>
        <v>357239.59</v>
      </c>
      <c r="E88" s="95">
        <f>SUM('DOE25'!H153:H161)</f>
        <v>1139718.4500000002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251442.02</v>
      </c>
      <c r="D91" s="131">
        <f>SUM(D85:D90)</f>
        <v>357239.59</v>
      </c>
      <c r="E91" s="131">
        <f>SUM(E85:E90)</f>
        <v>1139718.4500000002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227376.24</v>
      </c>
      <c r="E96" s="95">
        <f>'DOE25'!H179</f>
        <v>0</v>
      </c>
      <c r="F96" s="95">
        <f>'DOE25'!I179</f>
        <v>0</v>
      </c>
      <c r="G96" s="95">
        <f>'DOE25'!J179</f>
        <v>104292.66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251805.26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251805.26</v>
      </c>
      <c r="D103" s="86">
        <f>SUM(D93:D102)</f>
        <v>227376.24</v>
      </c>
      <c r="E103" s="86">
        <f>SUM(E93:E102)</f>
        <v>0</v>
      </c>
      <c r="F103" s="86">
        <f>SUM(F93:F102)</f>
        <v>0</v>
      </c>
      <c r="G103" s="86">
        <f>SUM(G93:G102)</f>
        <v>104292.66</v>
      </c>
    </row>
    <row r="104" spans="1:7" ht="12.75" thickTop="1" thickBot="1" x14ac:dyDescent="0.25">
      <c r="A104" s="33" t="s">
        <v>765</v>
      </c>
      <c r="C104" s="86">
        <f>C63+C81+C91+C103</f>
        <v>27443185.700000003</v>
      </c>
      <c r="D104" s="86">
        <f>D63+D81+D91+D103</f>
        <v>818020.74</v>
      </c>
      <c r="E104" s="86">
        <f>E63+E81+E91+E103</f>
        <v>1161855.3400000001</v>
      </c>
      <c r="F104" s="86">
        <f>F63+F81+F91+F103</f>
        <v>0</v>
      </c>
      <c r="G104" s="86">
        <f>G63+G81+G103</f>
        <v>123159.82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9734037.6699999999</v>
      </c>
      <c r="D109" s="24" t="s">
        <v>289</v>
      </c>
      <c r="E109" s="95">
        <f>('DOE25'!L276)+('DOE25'!L295)+('DOE25'!L314)</f>
        <v>367786.32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6157429.5800000001</v>
      </c>
      <c r="D110" s="24" t="s">
        <v>289</v>
      </c>
      <c r="E110" s="95">
        <f>('DOE25'!L277)+('DOE25'!L296)+('DOE25'!L315)</f>
        <v>35385.4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868827.5</v>
      </c>
      <c r="D111" s="24" t="s">
        <v>289</v>
      </c>
      <c r="E111" s="95">
        <f>('DOE25'!L278)+('DOE25'!L297)+('DOE25'!L316)</f>
        <v>61139.4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408336.33999999997</v>
      </c>
      <c r="D112" s="24" t="s">
        <v>289</v>
      </c>
      <c r="E112" s="95">
        <f>+('DOE25'!L279)+('DOE25'!L298)+('DOE25'!L317)</f>
        <v>14692.28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17168631.09</v>
      </c>
      <c r="D115" s="86">
        <f>SUM(D109:D114)</f>
        <v>0</v>
      </c>
      <c r="E115" s="86">
        <f>SUM(E109:E114)</f>
        <v>479003.40000000008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1263600.03</v>
      </c>
      <c r="D118" s="24" t="s">
        <v>289</v>
      </c>
      <c r="E118" s="95">
        <f>+('DOE25'!L281)+('DOE25'!L300)+('DOE25'!L319)</f>
        <v>300874.5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1183892.21</v>
      </c>
      <c r="D119" s="24" t="s">
        <v>289</v>
      </c>
      <c r="E119" s="95">
        <f>+('DOE25'!L282)+('DOE25'!L301)+('DOE25'!L320)</f>
        <v>293917.31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481484.31999999995</v>
      </c>
      <c r="D120" s="24" t="s">
        <v>289</v>
      </c>
      <c r="E120" s="95">
        <f>+('DOE25'!L283)+('DOE25'!L302)+('DOE25'!L321)</f>
        <v>52094.55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1497825.0100000002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324979.48</v>
      </c>
      <c r="D122" s="24" t="s">
        <v>289</v>
      </c>
      <c r="E122" s="95">
        <f>+('DOE25'!L285)+('DOE25'!L304)+('DOE25'!L323)</f>
        <v>24227.09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2768580.51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1189810.7</v>
      </c>
      <c r="D124" s="24" t="s">
        <v>289</v>
      </c>
      <c r="E124" s="95">
        <f>+('DOE25'!L287)+('DOE25'!L306)+('DOE25'!L325)</f>
        <v>5254.63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818020.74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8710172.2599999998</v>
      </c>
      <c r="D128" s="86">
        <f>SUM(D118:D127)</f>
        <v>818020.74</v>
      </c>
      <c r="E128" s="86">
        <f>SUM(E118:E127)</f>
        <v>676368.08000000007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309374.71999999997</v>
      </c>
      <c r="D130" s="24" t="s">
        <v>289</v>
      </c>
      <c r="E130" s="129">
        <f>'DOE25'!L336</f>
        <v>63891.67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708412.03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51564.53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253873</v>
      </c>
    </row>
    <row r="135" spans="1:7" x14ac:dyDescent="0.2">
      <c r="A135" t="s">
        <v>233</v>
      </c>
      <c r="B135" s="32" t="s">
        <v>234</v>
      </c>
      <c r="C135" s="95">
        <f>'DOE25'!L263</f>
        <v>227376.24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112736.69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10423.129999999999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-18867.160000000003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1401020.18</v>
      </c>
      <c r="D144" s="141">
        <f>SUM(D130:D143)</f>
        <v>0</v>
      </c>
      <c r="E144" s="141">
        <f>SUM(E130:E143)</f>
        <v>63891.67</v>
      </c>
      <c r="F144" s="141">
        <f>SUM(F130:F143)</f>
        <v>0</v>
      </c>
      <c r="G144" s="141">
        <f>SUM(G130:G143)</f>
        <v>253873</v>
      </c>
    </row>
    <row r="145" spans="1:9" ht="12.75" thickTop="1" thickBot="1" x14ac:dyDescent="0.25">
      <c r="A145" s="33" t="s">
        <v>244</v>
      </c>
      <c r="C145" s="86">
        <f>(C115+C128+C144)</f>
        <v>27279823.530000001</v>
      </c>
      <c r="D145" s="86">
        <f>(D115+D128+D144)</f>
        <v>818020.74</v>
      </c>
      <c r="E145" s="86">
        <f>(E115+E128+E144)</f>
        <v>1219263.1500000001</v>
      </c>
      <c r="F145" s="86">
        <f>(F115+F128+F144)</f>
        <v>0</v>
      </c>
      <c r="G145" s="86">
        <f>(G115+G128+G144)</f>
        <v>253873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18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08/05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08/24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1911965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0.05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1000000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1000000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100000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100000</v>
      </c>
    </row>
    <row r="159" spans="1:9" x14ac:dyDescent="0.2">
      <c r="A159" s="22" t="s">
        <v>35</v>
      </c>
      <c r="B159" s="137">
        <f>'DOE25'!F498</f>
        <v>900000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900000</v>
      </c>
    </row>
    <row r="160" spans="1:9" x14ac:dyDescent="0.2">
      <c r="A160" s="22" t="s">
        <v>36</v>
      </c>
      <c r="B160" s="137">
        <f>'DOE25'!F499</f>
        <v>182952.59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182952.59</v>
      </c>
    </row>
    <row r="161" spans="1:7" x14ac:dyDescent="0.2">
      <c r="A161" s="22" t="s">
        <v>37</v>
      </c>
      <c r="B161" s="137">
        <f>'DOE25'!F500</f>
        <v>1082952.5900000001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1082952.5900000001</v>
      </c>
    </row>
    <row r="162" spans="1:7" x14ac:dyDescent="0.2">
      <c r="A162" s="22" t="s">
        <v>38</v>
      </c>
      <c r="B162" s="137">
        <f>'DOE25'!F501</f>
        <v>100000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100000</v>
      </c>
    </row>
    <row r="163" spans="1:7" x14ac:dyDescent="0.2">
      <c r="A163" s="22" t="s">
        <v>39</v>
      </c>
      <c r="B163" s="137">
        <f>'DOE25'!F502</f>
        <v>36265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36265</v>
      </c>
    </row>
    <row r="164" spans="1:7" x14ac:dyDescent="0.2">
      <c r="A164" s="22" t="s">
        <v>246</v>
      </c>
      <c r="B164" s="137">
        <f>'DOE25'!F503</f>
        <v>136265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136265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Fall Mtn Regional - SAU 60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18075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13418</v>
      </c>
    </row>
    <row r="7" spans="1:4" x14ac:dyDescent="0.2">
      <c r="B7" t="s">
        <v>705</v>
      </c>
      <c r="C7" s="179">
        <f>IF('DOE25'!I665+'DOE25'!I670=0,0,ROUND('DOE25'!I672,0))</f>
        <v>16530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10101824</v>
      </c>
      <c r="D10" s="182">
        <f>ROUND((C10/$C$28)*100,1)</f>
        <v>36.5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6192815</v>
      </c>
      <c r="D11" s="182">
        <f>ROUND((C11/$C$28)*100,1)</f>
        <v>22.4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929967</v>
      </c>
      <c r="D12" s="182">
        <f>ROUND((C12/$C$28)*100,1)</f>
        <v>3.4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423029</v>
      </c>
      <c r="D13" s="182">
        <f>ROUND((C13/$C$28)*100,1)</f>
        <v>1.5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1564475</v>
      </c>
      <c r="D15" s="182">
        <f t="shared" ref="D15:D27" si="0">ROUND((C15/$C$28)*100,1)</f>
        <v>5.7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1477810</v>
      </c>
      <c r="D16" s="182">
        <f t="shared" si="0"/>
        <v>5.3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533579</v>
      </c>
      <c r="D17" s="182">
        <f t="shared" si="0"/>
        <v>1.9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1497825</v>
      </c>
      <c r="D18" s="182">
        <f t="shared" si="0"/>
        <v>5.4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349207</v>
      </c>
      <c r="D19" s="182">
        <f t="shared" si="0"/>
        <v>1.3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2768581</v>
      </c>
      <c r="D20" s="182">
        <f t="shared" si="0"/>
        <v>10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1195065</v>
      </c>
      <c r="D21" s="182">
        <f t="shared" si="0"/>
        <v>4.3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51565</v>
      </c>
      <c r="D25" s="182">
        <f t="shared" si="0"/>
        <v>0.2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600350.82000000007</v>
      </c>
      <c r="D27" s="182">
        <f t="shared" si="0"/>
        <v>2.2000000000000002</v>
      </c>
    </row>
    <row r="28" spans="1:4" x14ac:dyDescent="0.2">
      <c r="B28" s="187" t="s">
        <v>723</v>
      </c>
      <c r="C28" s="180">
        <f>SUM(C10:C27)</f>
        <v>27686092.82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373266</v>
      </c>
    </row>
    <row r="30" spans="1:4" x14ac:dyDescent="0.2">
      <c r="B30" s="187" t="s">
        <v>729</v>
      </c>
      <c r="C30" s="180">
        <f>SUM(C28:C29)</f>
        <v>28059358.82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708412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15159386</v>
      </c>
      <c r="D35" s="182">
        <f t="shared" ref="D35:D40" si="1">ROUND((C35/$C$41)*100,1)</f>
        <v>52.7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521226.53000000119</v>
      </c>
      <c r="D36" s="182">
        <f t="shared" si="1"/>
        <v>1.8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10501378</v>
      </c>
      <c r="D37" s="182">
        <f t="shared" si="1"/>
        <v>36.5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814687</v>
      </c>
      <c r="D38" s="182">
        <f t="shared" si="1"/>
        <v>2.8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1748400</v>
      </c>
      <c r="D39" s="182">
        <f t="shared" si="1"/>
        <v>6.1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28745077.530000001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Fall Mtn Regional - SAU 60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2016-10-10T14:56:48Z</cp:lastPrinted>
  <dcterms:created xsi:type="dcterms:W3CDTF">1997-12-04T19:04:30Z</dcterms:created>
  <dcterms:modified xsi:type="dcterms:W3CDTF">2016-11-29T14:41:32Z</dcterms:modified>
</cp:coreProperties>
</file>