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694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39" i="12"/>
  <c r="B37" i="12"/>
  <c r="B38" i="12"/>
  <c r="C19" i="12"/>
  <c r="C20" i="12"/>
  <c r="C21" i="12"/>
  <c r="B21" i="12"/>
  <c r="B19" i="12"/>
  <c r="B20" i="12"/>
  <c r="C10" i="12"/>
  <c r="C11" i="12"/>
  <c r="C12" i="12"/>
  <c r="B12" i="12"/>
  <c r="B10" i="12"/>
  <c r="B11" i="12" l="1"/>
  <c r="F24" i="1" l="1"/>
  <c r="F29" i="1"/>
  <c r="H367" i="1" l="1"/>
  <c r="I358" i="1"/>
  <c r="I360" i="1"/>
  <c r="H368" i="1"/>
  <c r="F368" i="1"/>
  <c r="H48" i="1" l="1"/>
  <c r="H13" i="1"/>
  <c r="G360" i="1"/>
  <c r="F360" i="1"/>
  <c r="G358" i="1"/>
  <c r="F358" i="1"/>
  <c r="G613" i="1"/>
  <c r="G611" i="1"/>
  <c r="H523" i="1" l="1"/>
  <c r="G523" i="1"/>
  <c r="F523" i="1"/>
  <c r="H521" i="1"/>
  <c r="G521" i="1"/>
  <c r="F521" i="1"/>
  <c r="H595" i="1" l="1"/>
  <c r="F281" i="1" l="1"/>
  <c r="H320" i="1"/>
  <c r="H319" i="1"/>
  <c r="G283" i="1"/>
  <c r="H282" i="1"/>
  <c r="I282" i="1"/>
  <c r="G282" i="1"/>
  <c r="F282" i="1"/>
  <c r="G244" i="1" l="1"/>
  <c r="F244" i="1"/>
  <c r="I243" i="1"/>
  <c r="H243" i="1"/>
  <c r="G243" i="1"/>
  <c r="F243" i="1"/>
  <c r="G241" i="1"/>
  <c r="F241" i="1"/>
  <c r="I239" i="1"/>
  <c r="H239" i="1"/>
  <c r="K238" i="1"/>
  <c r="I238" i="1"/>
  <c r="H238" i="1"/>
  <c r="G238" i="1"/>
  <c r="F238" i="1"/>
  <c r="I236" i="1"/>
  <c r="G236" i="1"/>
  <c r="F236" i="1"/>
  <c r="I234" i="1"/>
  <c r="H234" i="1"/>
  <c r="G234" i="1"/>
  <c r="F234" i="1"/>
  <c r="I233" i="1"/>
  <c r="H233" i="1"/>
  <c r="G233" i="1"/>
  <c r="F233" i="1"/>
  <c r="G208" i="1" l="1"/>
  <c r="F208" i="1"/>
  <c r="I207" i="1"/>
  <c r="H207" i="1"/>
  <c r="G207" i="1"/>
  <c r="F207" i="1"/>
  <c r="G205" i="1"/>
  <c r="F205" i="1"/>
  <c r="I203" i="1"/>
  <c r="H203" i="1"/>
  <c r="I202" i="1"/>
  <c r="H202" i="1"/>
  <c r="G202" i="1"/>
  <c r="F202" i="1"/>
  <c r="I200" i="1"/>
  <c r="G200" i="1"/>
  <c r="F200" i="1"/>
  <c r="K198" i="1"/>
  <c r="I198" i="1"/>
  <c r="H198" i="1"/>
  <c r="G198" i="1"/>
  <c r="F198" i="1"/>
  <c r="H197" i="1"/>
  <c r="G197" i="1"/>
  <c r="F197" i="1"/>
  <c r="H154" i="1" l="1"/>
  <c r="F110" i="1"/>
  <c r="F68" i="1"/>
  <c r="H159" i="1"/>
  <c r="H155" i="1"/>
  <c r="H151" i="1"/>
  <c r="F10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C111" i="2" s="1"/>
  <c r="L200" i="1"/>
  <c r="L215" i="1"/>
  <c r="L229" i="1" s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E118" i="2" s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112" i="1" s="1"/>
  <c r="F94" i="1"/>
  <c r="C58" i="2" s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I169" i="1" s="1"/>
  <c r="L250" i="1"/>
  <c r="C113" i="2" s="1"/>
  <c r="L332" i="1"/>
  <c r="E113" i="2" s="1"/>
  <c r="L254" i="1"/>
  <c r="L268" i="1"/>
  <c r="C26" i="10" s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E114" i="2"/>
  <c r="D115" i="2"/>
  <c r="F115" i="2"/>
  <c r="G115" i="2"/>
  <c r="E121" i="2"/>
  <c r="E123" i="2"/>
  <c r="E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I446" i="1"/>
  <c r="G642" i="1" s="1"/>
  <c r="F452" i="1"/>
  <c r="G452" i="1"/>
  <c r="H452" i="1"/>
  <c r="H461" i="1" s="1"/>
  <c r="H641" i="1" s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F470" i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F571" i="1" s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H643" i="1"/>
  <c r="J643" i="1" s="1"/>
  <c r="G644" i="1"/>
  <c r="G650" i="1"/>
  <c r="G651" i="1"/>
  <c r="G652" i="1"/>
  <c r="H652" i="1"/>
  <c r="G653" i="1"/>
  <c r="H653" i="1"/>
  <c r="G654" i="1"/>
  <c r="H654" i="1"/>
  <c r="H655" i="1"/>
  <c r="C18" i="2"/>
  <c r="A31" i="12"/>
  <c r="D18" i="13"/>
  <c r="C18" i="13" s="1"/>
  <c r="G157" i="2"/>
  <c r="D91" i="2"/>
  <c r="G62" i="2"/>
  <c r="D19" i="13"/>
  <c r="C19" i="13" s="1"/>
  <c r="E78" i="2"/>
  <c r="J571" i="1"/>
  <c r="D81" i="2"/>
  <c r="J140" i="1"/>
  <c r="G22" i="2"/>
  <c r="H140" i="1"/>
  <c r="L401" i="1"/>
  <c r="C139" i="2" s="1"/>
  <c r="H571" i="1"/>
  <c r="G192" i="1"/>
  <c r="H192" i="1"/>
  <c r="L309" i="1"/>
  <c r="L570" i="1"/>
  <c r="I571" i="1"/>
  <c r="G36" i="2"/>
  <c r="H476" i="1" l="1"/>
  <c r="H624" i="1" s="1"/>
  <c r="L393" i="1"/>
  <c r="C138" i="2" s="1"/>
  <c r="A40" i="12"/>
  <c r="A13" i="12"/>
  <c r="L270" i="1"/>
  <c r="J655" i="1"/>
  <c r="F476" i="1"/>
  <c r="H622" i="1" s="1"/>
  <c r="J622" i="1" s="1"/>
  <c r="I369" i="1"/>
  <c r="H634" i="1" s="1"/>
  <c r="J634" i="1" s="1"/>
  <c r="F661" i="1"/>
  <c r="J617" i="1"/>
  <c r="J641" i="1"/>
  <c r="J545" i="1"/>
  <c r="H25" i="13"/>
  <c r="C25" i="13" s="1"/>
  <c r="G645" i="1"/>
  <c r="J645" i="1" s="1"/>
  <c r="I545" i="1"/>
  <c r="J476" i="1"/>
  <c r="H626" i="1" s="1"/>
  <c r="L382" i="1"/>
  <c r="G636" i="1" s="1"/>
  <c r="J636" i="1" s="1"/>
  <c r="C132" i="2"/>
  <c r="G552" i="1"/>
  <c r="F22" i="13"/>
  <c r="C22" i="13" s="1"/>
  <c r="C29" i="10"/>
  <c r="L351" i="1"/>
  <c r="J651" i="1"/>
  <c r="G624" i="1"/>
  <c r="J624" i="1" s="1"/>
  <c r="L565" i="1"/>
  <c r="L571" i="1" s="1"/>
  <c r="J640" i="1"/>
  <c r="L427" i="1"/>
  <c r="D62" i="2"/>
  <c r="D63" i="2" s="1"/>
  <c r="E124" i="2"/>
  <c r="E128" i="2" s="1"/>
  <c r="E120" i="2"/>
  <c r="C120" i="2"/>
  <c r="E81" i="2"/>
  <c r="G476" i="1"/>
  <c r="H623" i="1" s="1"/>
  <c r="J623" i="1" s="1"/>
  <c r="J257" i="1"/>
  <c r="J271" i="1" s="1"/>
  <c r="C123" i="2"/>
  <c r="C13" i="10"/>
  <c r="E62" i="2"/>
  <c r="E63" i="2" s="1"/>
  <c r="D31" i="2"/>
  <c r="G161" i="2"/>
  <c r="D50" i="2"/>
  <c r="D51" i="2" s="1"/>
  <c r="H33" i="13"/>
  <c r="G164" i="2"/>
  <c r="D18" i="2"/>
  <c r="G661" i="1"/>
  <c r="D29" i="13"/>
  <c r="C29" i="13" s="1"/>
  <c r="H661" i="1"/>
  <c r="L362" i="1"/>
  <c r="G635" i="1" s="1"/>
  <c r="J635" i="1" s="1"/>
  <c r="D127" i="2"/>
  <c r="D128" i="2" s="1"/>
  <c r="D145" i="2" s="1"/>
  <c r="L614" i="1"/>
  <c r="H545" i="1"/>
  <c r="K551" i="1"/>
  <c r="F552" i="1"/>
  <c r="L524" i="1"/>
  <c r="K598" i="1"/>
  <c r="G647" i="1" s="1"/>
  <c r="L529" i="1"/>
  <c r="K549" i="1"/>
  <c r="G545" i="1"/>
  <c r="H552" i="1"/>
  <c r="L534" i="1"/>
  <c r="H338" i="1"/>
  <c r="H352" i="1" s="1"/>
  <c r="L328" i="1"/>
  <c r="F338" i="1"/>
  <c r="F352" i="1" s="1"/>
  <c r="G338" i="1"/>
  <c r="G352" i="1" s="1"/>
  <c r="E109" i="2"/>
  <c r="E115" i="2" s="1"/>
  <c r="K352" i="1"/>
  <c r="J338" i="1"/>
  <c r="J352" i="1" s="1"/>
  <c r="L290" i="1"/>
  <c r="E16" i="13"/>
  <c r="C16" i="13" s="1"/>
  <c r="C122" i="2"/>
  <c r="D7" i="13"/>
  <c r="C7" i="13" s="1"/>
  <c r="D15" i="13"/>
  <c r="C15" i="13" s="1"/>
  <c r="C21" i="10"/>
  <c r="C124" i="2"/>
  <c r="F662" i="1"/>
  <c r="I662" i="1" s="1"/>
  <c r="C19" i="10"/>
  <c r="E13" i="13"/>
  <c r="C13" i="13" s="1"/>
  <c r="C15" i="10"/>
  <c r="C11" i="10"/>
  <c r="K503" i="1"/>
  <c r="K500" i="1"/>
  <c r="D14" i="13"/>
  <c r="C14" i="13" s="1"/>
  <c r="C121" i="2"/>
  <c r="C16" i="10"/>
  <c r="C118" i="2"/>
  <c r="D6" i="13"/>
  <c r="C6" i="13" s="1"/>
  <c r="K257" i="1"/>
  <c r="K271" i="1" s="1"/>
  <c r="C112" i="2"/>
  <c r="L247" i="1"/>
  <c r="C110" i="2"/>
  <c r="I257" i="1"/>
  <c r="I271" i="1" s="1"/>
  <c r="H257" i="1"/>
  <c r="H271" i="1" s="1"/>
  <c r="G257" i="1"/>
  <c r="G271" i="1" s="1"/>
  <c r="F257" i="1"/>
  <c r="F271" i="1" s="1"/>
  <c r="G649" i="1"/>
  <c r="J649" i="1" s="1"/>
  <c r="H647" i="1"/>
  <c r="C20" i="10"/>
  <c r="C18" i="10"/>
  <c r="D12" i="13"/>
  <c r="C12" i="13" s="1"/>
  <c r="C17" i="10"/>
  <c r="E8" i="13"/>
  <c r="C8" i="13" s="1"/>
  <c r="D5" i="13"/>
  <c r="C5" i="13" s="1"/>
  <c r="L211" i="1"/>
  <c r="C109" i="2"/>
  <c r="C10" i="10"/>
  <c r="J639" i="1"/>
  <c r="L544" i="1"/>
  <c r="C57" i="2"/>
  <c r="C62" i="2" s="1"/>
  <c r="C91" i="2"/>
  <c r="C81" i="2"/>
  <c r="C56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I663" i="1"/>
  <c r="G104" i="2" l="1"/>
  <c r="C27" i="10"/>
  <c r="C28" i="10" s="1"/>
  <c r="D24" i="10" s="1"/>
  <c r="I661" i="1"/>
  <c r="G664" i="1"/>
  <c r="K552" i="1"/>
  <c r="J647" i="1"/>
  <c r="L545" i="1"/>
  <c r="H660" i="1"/>
  <c r="H664" i="1" s="1"/>
  <c r="H672" i="1" s="1"/>
  <c r="C6" i="10" s="1"/>
  <c r="E145" i="2"/>
  <c r="D31" i="13"/>
  <c r="C31" i="13" s="1"/>
  <c r="H648" i="1"/>
  <c r="J648" i="1" s="1"/>
  <c r="L338" i="1"/>
  <c r="L352" i="1" s="1"/>
  <c r="G633" i="1" s="1"/>
  <c r="J633" i="1" s="1"/>
  <c r="F660" i="1"/>
  <c r="F664" i="1" s="1"/>
  <c r="F672" i="1" s="1"/>
  <c r="C4" i="10" s="1"/>
  <c r="C128" i="2"/>
  <c r="C115" i="2"/>
  <c r="E33" i="13"/>
  <c r="D35" i="13" s="1"/>
  <c r="L257" i="1"/>
  <c r="L271" i="1" s="1"/>
  <c r="G632" i="1" s="1"/>
  <c r="J632" i="1" s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G667" i="1"/>
  <c r="H667" i="1"/>
  <c r="D33" i="13"/>
  <c r="D36" i="13" s="1"/>
  <c r="I660" i="1"/>
  <c r="I664" i="1" s="1"/>
  <c r="I672" i="1" s="1"/>
  <c r="C7" i="10" s="1"/>
  <c r="C145" i="2"/>
  <c r="F667" i="1"/>
  <c r="D11" i="10"/>
  <c r="D15" i="10"/>
  <c r="C30" i="10"/>
  <c r="D16" i="10"/>
  <c r="D19" i="10"/>
  <c r="D10" i="10"/>
  <c r="D20" i="10"/>
  <c r="D18" i="10"/>
  <c r="D22" i="10"/>
  <c r="D26" i="10"/>
  <c r="D23" i="10"/>
  <c r="D25" i="10"/>
  <c r="D13" i="10"/>
  <c r="D21" i="10"/>
  <c r="D12" i="10"/>
  <c r="D27" i="10"/>
  <c r="D17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<sst xmlns="http://schemas.openxmlformats.org/spreadsheetml/2006/main" count="3957" uniqueCount="915">
  <si>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</si>
  <si>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</si>
  <si>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</si>
  <si>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</si>
  <si>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</si>
  <si>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</si>
  <si>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</si>
  <si>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</si>
  <si>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</si>
  <si>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</si>
  <si>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</si>
  <si>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</si>
  <si>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</si>
  <si>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</si>
  <si>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</si>
  <si>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</si>
  <si>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</si>
  <si>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</si>
  <si>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</si>
  <si>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</si>
  <si>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</si>
  <si>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</si>
  <si>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</si>
  <si>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</si>
  <si>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</si>
  <si>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</si>
  <si>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</si>
  <si>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</si>
  <si>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</si>
  <si>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</si>
  <si>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</si>
  <si>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</si>
  <si>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</si>
  <si>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</si>
  <si>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</si>
  <si>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</si>
  <si>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</si>
  <si>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</si>
  <si>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</si>
  <si>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</si>
  <si>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</si>
  <si>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</si>
  <si>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</si>
  <si>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</si>
  <si>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</si>
  <si>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</si>
  <si>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</si>
  <si>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</si>
  <si>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</si>
  <si>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</si>
  <si>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</si>
  <si>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</si>
  <si>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</si>
  <si>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</si>
  <si>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</si>
  <si>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</si>
  <si>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</si>
  <si>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</si>
  <si>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</si>
  <si>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</si>
  <si>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</si>
  <si>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</si>
  <si>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</si>
  <si>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</si>
  <si>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</si>
  <si>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</si>
  <si>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</si>
  <si>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</si>
  <si>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</si>
  <si>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</si>
  <si>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</si>
  <si>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</si>
  <si>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</si>
  <si>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</si>
  <si>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</si>
  <si>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</si>
  <si>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</si>
  <si>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</si>
  <si>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</si>
  <si>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</si>
  <si>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</si>
  <si>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</si>
  <si>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</si>
  <si>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</si>
  <si>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</si>
  <si>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</si>
  <si>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</si>
  <si>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</si>
  <si>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</si>
  <si>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</si>
  <si>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</si>
  <si>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</si>
  <si>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</si>
  <si>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</si>
  <si>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</si>
  <si>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</si>
  <si>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</si>
  <si>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</si>
  <si>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</si>
  <si>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</si>
  <si>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</si>
  <si>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</si>
  <si>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</si>
  <si>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</si>
  <si>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</si>
  <si>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</si>
  <si>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</si>
  <si>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</si>
  <si>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</si>
  <si>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</si>
  <si>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</si>
  <si>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</si>
  <si>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</si>
  <si>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</si>
  <si>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</si>
  <si>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</si>
  <si>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</si>
  <si>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</si>
  <si>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</si>
  <si>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</si>
  <si>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</si>
  <si>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</si>
  <si>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</si>
  <si>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</si>
  <si>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</si>
  <si>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</si>
  <si>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</si>
  <si>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</si>
  <si>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</si>
  <si>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</si>
  <si>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</si>
  <si>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</si>
  <si>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</si>
  <si>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</si>
  <si>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</si>
  <si>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</si>
  <si>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</si>
  <si>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</si>
  <si>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</si>
  <si>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</si>
  <si>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</si>
  <si>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</si>
  <si>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</si>
  <si>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</si>
  <si>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</si>
  <si>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</si>
  <si>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</si>
  <si>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</si>
  <si>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</si>
  <si>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</si>
  <si>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</si>
  <si>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</si>
  <si>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</si>
  <si>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</si>
  <si>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</si>
  <si>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</si>
  <si>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</si>
  <si>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</si>
  <si>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</si>
  <si>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</si>
  <si>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</si>
  <si>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</si>
  <si>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</si>
  <si>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</si>
  <si>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</si>
  <si>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</si>
  <si>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</si>
  <si>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</si>
  <si>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</si>
  <si>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</si>
  <si>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</si>
  <si>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</si>
  <si>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</si>
  <si>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</si>
  <si>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</si>
  <si>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</si>
  <si>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</si>
  <si>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</si>
  <si>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</si>
  <si>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</si>
  <si>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</si>
  <si>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</si>
  <si>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</si>
  <si>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</si>
  <si>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</si>
  <si>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</si>
  <si>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</si>
  <si>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</si>
  <si>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</si>
  <si>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</si>
  <si>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</si>
  <si>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</si>
  <si>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</si>
  <si>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</si>
  <si>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</si>
  <si>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</si>
  <si>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</si>
  <si>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</si>
  <si>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</si>
  <si>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</si>
  <si>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</si>
  <si>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</si>
  <si>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</si>
  <si>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</si>
  <si>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</si>
  <si>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</si>
  <si>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</si>
  <si>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</si>
  <si>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</si>
  <si>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</si>
  <si>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</si>
  <si>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</si>
  <si>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</si>
  <si>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</si>
  <si>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</si>
  <si>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</si>
  <si>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</si>
  <si>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</si>
  <si>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</si>
  <si>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</si>
  <si>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</si>
  <si>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</si>
  <si>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</si>
  <si>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</si>
  <si>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</si>
  <si>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</si>
  <si>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</si>
  <si>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</si>
  <si>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</si>
  <si>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</si>
  <si>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</si>
  <si>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</si>
  <si>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</si>
  <si>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</si>
  <si>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</si>
  <si>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</si>
  <si>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</si>
  <si>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</si>
  <si>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</si>
  <si>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</si>
  <si>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</si>
  <si>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</si>
  <si>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</si>
  <si>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</si>
  <si>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</si>
  <si>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</si>
  <si>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</si>
  <si>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</si>
  <si>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</si>
  <si>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</si>
  <si>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</si>
  <si>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</si>
  <si>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</si>
  <si>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</si>
  <si>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</si>
  <si>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</si>
  <si>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</si>
  <si>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</si>
  <si>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</si>
  <si>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</si>
  <si>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</si>
  <si>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</si>
  <si>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</si>
  <si>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</si>
  <si>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</si>
  <si>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</si>
  <si>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</si>
  <si>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</si>
  <si>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</si>
  <si>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</si>
  <si>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</si>
  <si>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</si>
  <si>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</si>
  <si>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</si>
  <si>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</si>
  <si>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</si>
  <si>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</si>
  <si>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</si>
  <si>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</si>
  <si>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</si>
  <si>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</si>
  <si>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</si>
  <si>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</si>
  <si>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</si>
  <si>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</si>
  <si>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</si>
  <si>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</si>
  <si>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</si>
  <si>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</si>
  <si>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</si>
  <si>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</si>
  <si>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</si>
  <si>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</si>
  <si>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</si>
  <si>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</si>
  <si>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</si>
  <si>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</si>
  <si>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</si>
  <si>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</si>
  <si>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</si>
  <si>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</si>
  <si>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</si>
  <si>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</si>
  <si>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</si>
  <si>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</si>
  <si>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</si>
  <si>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</si>
  <si>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</si>
  <si>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</si>
  <si>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</si>
  <si>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</si>
  <si>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</si>
  <si>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</si>
  <si>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</si>
  <si>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</si>
  <si>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</si>
  <si>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</si>
  <si>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</si>
  <si>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</si>
  <si>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</si>
  <si>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</si>
  <si>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</si>
  <si>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</si>
  <si>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</si>
  <si>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</si>
  <si>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</si>
  <si>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</si>
  <si>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</si>
  <si>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</si>
  <si>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</si>
  <si>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</si>
  <si>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</si>
  <si>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</si>
  <si>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</si>
  <si>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</si>
  <si>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</si>
  <si>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</si>
  <si>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</si>
  <si>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</si>
  <si>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</si>
  <si>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</si>
  <si>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</si>
  <si>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</si>
  <si>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</si>
  <si>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</si>
  <si>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</si>
  <si>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</si>
  <si>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</si>
  <si>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</si>
  <si>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</si>
  <si>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</si>
  <si>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</si>
  <si>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</si>
  <si>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</si>
  <si>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</si>
  <si>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</si>
  <si>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</si>
  <si>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</si>
  <si>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</si>
  <si>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</si>
  <si>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</si>
  <si>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</si>
  <si>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</si>
  <si>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</si>
  <si>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</si>
  <si>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</si>
  <si>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</si>
  <si>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</si>
  <si>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</si>
  <si>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</si>
  <si>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</si>
  <si>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</si>
  <si>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</si>
  <si>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</si>
  <si>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</si>
  <si>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</si>
  <si>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</si>
  <si>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</si>
  <si>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</si>
  <si>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</si>
  <si>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</si>
  <si>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</si>
  <si>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</si>
  <si>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</si>
  <si>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</si>
  <si>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</si>
  <si>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</si>
  <si>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</si>
  <si>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</si>
  <si>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</si>
  <si>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</si>
  <si>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</si>
  <si>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</si>
  <si>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</si>
  <si>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</si>
  <si>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</si>
  <si>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</si>
  <si>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</si>
  <si>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</si>
  <si>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</si>
  <si>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</si>
  <si>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</si>
  <si>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</si>
  <si>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</si>
  <si>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</si>
  <si>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</si>
  <si>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</si>
  <si>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</si>
  <si>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</si>
  <si>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</si>
  <si>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</si>
  <si>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</si>
  <si>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</si>
  <si>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</si>
  <si>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</si>
  <si>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</si>
  <si>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</si>
  <si>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</si>
  <si>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</si>
  <si>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</si>
  <si>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</si>
  <si>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</si>
  <si>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</si>
  <si>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</si>
  <si>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</si>
  <si>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</si>
  <si>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</si>
  <si>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</si>
  <si>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</si>
  <si>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</si>
  <si>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</si>
  <si>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</si>
  <si>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</si>
  <si>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</si>
  <si>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</si>
  <si>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</si>
  <si>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</si>
  <si>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</si>
  <si>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</si>
  <si>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</si>
  <si>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</si>
  <si>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</si>
  <si>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</si>
  <si>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</si>
  <si>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</si>
  <si>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</si>
  <si>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</si>
  <si>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</si>
  <si>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</si>
  <si>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</si>
  <si>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</si>
  <si>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</si>
  <si>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</si>
  <si>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</si>
  <si>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</si>
  <si>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</si>
  <si>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</si>
  <si>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</si>
  <si>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</si>
  <si>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</si>
  <si>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</si>
  <si>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</si>
  <si>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</si>
  <si>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</si>
  <si>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</si>
  <si>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</si>
  <si>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</si>
  <si>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</si>
  <si>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</si>
  <si>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</si>
  <si>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</si>
  <si>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</si>
  <si>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</si>
  <si>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</si>
  <si>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</si>
  <si>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</si>
  <si>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</si>
  <si>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</si>
  <si>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</si>
  <si>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</si>
  <si>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</si>
  <si>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</si>
  <si>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</si>
  <si>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</si>
  <si>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</si>
  <si>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</si>
  <si>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</si>
  <si>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</si>
  <si>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</si>
  <si>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</si>
  <si>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</si>
  <si>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</si>
  <si>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</si>
  <si>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</si>
  <si>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</si>
  <si>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</si>
  <si>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</si>
  <si>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</si>
  <si>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</si>
  <si>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</si>
  <si>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</si>
  <si>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</si>
  <si>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</si>
  <si>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</si>
  <si>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</si>
  <si>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</si>
  <si>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</si>
  <si>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</si>
  <si>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</si>
  <si>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</si>
  <si>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</si>
  <si>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</si>
  <si>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</si>
  <si>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</si>
  <si>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</si>
  <si>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</si>
  <si>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</si>
  <si>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</si>
  <si>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</si>
  <si>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</si>
  <si>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</si>
  <si>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</si>
  <si>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</si>
  <si>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</si>
  <si>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</si>
  <si>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</si>
  <si>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</si>
  <si>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</si>
  <si>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</si>
  <si>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</si>
  <si>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</si>
  <si>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</si>
  <si>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</si>
  <si>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</si>
  <si>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</si>
  <si>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</si>
  <si>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</si>
  <si>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</si>
  <si>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</si>
  <si>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</si>
  <si>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</si>
  <si>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</si>
  <si>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</si>
  <si>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</si>
  <si>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</si>
  <si>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</si>
  <si>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</si>
  <si>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</si>
  <si>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</si>
  <si>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</si>
  <si>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</si>
  <si>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</si>
  <si>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</si>
  <si>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</si>
  <si>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</si>
  <si>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</si>
  <si>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</si>
  <si>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</si>
  <si>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</si>
  <si>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</si>
  <si>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</si>
  <si>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</si>
  <si>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</si>
  <si>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</si>
  <si>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</si>
  <si>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</si>
  <si>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</si>
  <si>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</si>
  <si>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</si>
  <si>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</si>
  <si>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</si>
  <si>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</si>
  <si>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</si>
  <si>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</si>
  <si>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</si>
  <si>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</si>
  <si>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</si>
  <si>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</si>
  <si>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</si>
  <si>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</si>
  <si>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</si>
  <si>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</si>
  <si>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</si>
  <si>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</si>
  <si>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</si>
  <si>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</si>
  <si>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</si>
  <si>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</si>
  <si>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</si>
  <si>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</si>
  <si>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</si>
  <si>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</si>
  <si>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</si>
  <si>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</si>
  <si>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</si>
  <si>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</si>
  <si>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</si>
  <si>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</si>
  <si>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</si>
  <si>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</si>
  <si>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</si>
  <si>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</si>
  <si>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</si>
  <si>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</si>
  <si>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</si>
  <si>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</si>
  <si>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</si>
  <si>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</si>
  <si>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</si>
  <si>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</si>
  <si>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</si>
  <si>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</si>
  <si>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</si>
  <si>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</si>
  <si>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</si>
  <si>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</si>
  <si>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</si>
  <si>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</si>
  <si>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</si>
  <si>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</si>
  <si>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</si>
  <si>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</si>
  <si>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</si>
  <si>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</si>
  <si>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</si>
  <si>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</si>
  <si>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</si>
  <si>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</si>
  <si>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</si>
  <si>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</si>
  <si>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</si>
  <si>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</si>
  <si>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</si>
  <si>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</si>
  <si>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</si>
  <si>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</si>
  <si>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</si>
  <si>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</si>
  <si>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</si>
  <si>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</si>
  <si>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</si>
  <si>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</si>
  <si>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</si>
  <si>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</si>
  <si>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</si>
  <si>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</si>
  <si>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</si>
  <si>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</si>
  <si>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</si>
  <si>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</si>
  <si>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</si>
  <si>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</si>
  <si>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</si>
  <si>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</si>
  <si>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</si>
  <si>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</si>
  <si>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</si>
  <si>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</si>
  <si>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</si>
  <si>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</si>
  <si>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</si>
  <si>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</si>
  <si>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</si>
  <si>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</si>
  <si>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</si>
  <si>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</si>
  <si>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</si>
  <si>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</si>
  <si>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</si>
  <si>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</si>
  <si>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</si>
  <si>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</si>
  <si>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</si>
  <si>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</si>
  <si>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</si>
  <si>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</si>
  <si>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</si>
  <si>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</si>
  <si>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</si>
  <si>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</si>
  <si>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</si>
  <si>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</si>
  <si>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</si>
  <si>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</si>
  <si>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</si>
  <si>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</si>
  <si>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</si>
  <si>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</si>
  <si>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</si>
  <si>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</si>
  <si>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</si>
  <si>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</si>
  <si>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</si>
  <si>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</si>
  <si>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</si>
  <si>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</si>
  <si>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</si>
  <si>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</si>
  <si>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</si>
  <si>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</si>
  <si>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</si>
  <si>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</si>
  <si>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</si>
  <si>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</si>
  <si>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</si>
  <si>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</si>
  <si>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</si>
  <si>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</si>
  <si>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</si>
  <si>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</si>
  <si>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</si>
  <si>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</si>
  <si>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</si>
  <si>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</si>
  <si>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</si>
  <si>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</si>
  <si>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</si>
  <si>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</si>
  <si>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</si>
  <si>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</si>
  <si>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</si>
  <si>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</si>
  <si>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</si>
  <si>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</si>
  <si>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</si>
  <si>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</si>
  <si>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</si>
  <si>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</si>
  <si>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</si>
  <si>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</si>
  <si>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</si>
  <si>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</si>
  <si>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</si>
  <si>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</si>
  <si>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</si>
  <si>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</si>
  <si>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</si>
  <si>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</si>
  <si>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</si>
  <si>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</si>
  <si>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</si>
  <si>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</si>
  <si>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</si>
  <si>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</si>
  <si>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</si>
  <si>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</si>
  <si>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</si>
  <si>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</si>
  <si>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</si>
  <si>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</si>
  <si>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</si>
  <si>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</si>
  <si>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</si>
  <si>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</si>
  <si>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</si>
  <si>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</si>
  <si>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</si>
  <si>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</si>
  <si>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</si>
  <si>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</si>
  <si>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</si>
  <si>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</si>
  <si>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</si>
  <si>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</si>
  <si>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</si>
  <si>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</si>
  <si>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</si>
  <si>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</si>
  <si>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</si>
  <si>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</si>
  <si>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</si>
  <si>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</si>
  <si>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</si>
  <si>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</si>
  <si>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</si>
  <si>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</si>
  <si>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</si>
  <si>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</si>
  <si>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</si>
  <si>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</si>
  <si>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</si>
  <si>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</si>
  <si>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</si>
  <si>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</si>
  <si>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</si>
  <si>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</si>
  <si>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</si>
  <si>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</si>
  <si>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</si>
  <si>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</si>
  <si>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</si>
  <si>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</si>
  <si>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</si>
  <si>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</si>
  <si>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</si>
  <si>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</si>
  <si>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</si>
  <si>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</si>
  <si>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</si>
  <si>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</si>
  <si>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</si>
  <si>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</si>
  <si>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</si>
  <si>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</si>
  <si>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</si>
  <si>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</si>
  <si>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</si>
  <si>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</si>
  <si>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</si>
  <si>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</si>
  <si>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</si>
  <si>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</si>
  <si>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</si>
  <si>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</si>
  <si>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</si>
  <si>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</si>
  <si>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</si>
  <si>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</si>
  <si>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</si>
  <si>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</si>
  <si>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</si>
  <si>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</si>
  <si>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</si>
  <si>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</si>
  <si>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</si>
  <si>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</si>
  <si>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</si>
  <si>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</si>
  <si>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</si>
  <si>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</si>
  <si>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</si>
  <si>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</si>
  <si>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</si>
  <si>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</si>
  <si>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</si>
  <si>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</si>
  <si>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</si>
  <si>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</si>
  <si>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</si>
  <si>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</si>
  <si>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</si>
  <si>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</si>
  <si>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</si>
  <si>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</si>
  <si>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</si>
  <si>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</si>
  <si>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</si>
  <si>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</si>
  <si>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</si>
  <si>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</si>
  <si>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</si>
  <si>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</si>
  <si>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</si>
  <si>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</si>
  <si>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</si>
  <si>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</si>
  <si>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</si>
  <si>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</si>
  <si>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</si>
  <si>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</si>
  <si>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</si>
  <si>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</si>
  <si>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</si>
  <si>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</si>
  <si>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</si>
  <si>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</si>
  <si>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</si>
  <si>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</si>
  <si>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</si>
  <si>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</si>
  <si>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</si>
  <si>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</si>
  <si>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</si>
  <si>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</si>
  <si>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</si>
  <si>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</si>
  <si>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</si>
  <si>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</si>
  <si>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</si>
  <si>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</si>
  <si>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</si>
  <si>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</si>
  <si>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</si>
  <si>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</si>
  <si>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</si>
  <si>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</si>
  <si>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</si>
  <si>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</si>
  <si>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</si>
  <si>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</si>
  <si>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</si>
  <si>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</si>
  <si>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</si>
  <si>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</si>
  <si>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</si>
  <si>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</si>
  <si>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</si>
  <si>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</si>
  <si>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</si>
  <si>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</si>
  <si>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</si>
  <si>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</si>
  <si>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</si>
  <si>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</si>
  <si>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</si>
  <si>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</si>
  <si>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</si>
  <si>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</si>
  <si>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</si>
  <si>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</si>
  <si>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</si>
  <si>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</si>
  <si>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2/2013</t>
  </si>
  <si>
    <t>8/2018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</si>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</sst>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175</v>
      </c>
      <c r="C2" s="21">
        <v>175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2506814.79</v>
      </c>
      <c r="G9" s="18">
        <v>41950.92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33643.980000000003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50456.12</v>
      </c>
      <c r="H13" s="18">
        <f>30341.94+48293.32</f>
        <v>78635.259999999995</v>
      </c>
      <c r="I13" s="18"/>
      <c r="J13" s="67">
        <f>SUM(I442)</f>
        <v>1545308.5599999998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6302.84</v>
      </c>
      <c r="G14" s="18">
        <v>5367.37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2513117.63</v>
      </c>
      <c r="G19" s="41">
        <f>SUM(G9:G18)</f>
        <v>97774.41</v>
      </c>
      <c r="H19" s="41">
        <f>SUM(H9:H18)</f>
        <v>112279.23999999999</v>
      </c>
      <c r="I19" s="41">
        <f>SUM(I9:I18)</f>
        <v>0</v>
      </c>
      <c r="J19" s="41">
        <f>SUM(J9:J18)</f>
        <v>1545308.5599999998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82665.5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119086.39999999999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127896.15+37265.24</f>
        <v>165161.38999999998</v>
      </c>
      <c r="G24" s="18">
        <v>392.7</v>
      </c>
      <c r="H24" s="18">
        <v>382.46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442271.15</v>
      </c>
      <c r="G28" s="18"/>
      <c r="H28" s="18">
        <v>49145.88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499057.72+24739.45+152558.97+164263.26+358.22</f>
        <v>840977.62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3419.54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1567496.56</v>
      </c>
      <c r="G32" s="41">
        <f>SUM(G22:G31)</f>
        <v>86477.739999999991</v>
      </c>
      <c r="H32" s="41">
        <f>SUM(H22:H31)</f>
        <v>49528.34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11296.67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166310.70000000001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19112.05+43638.85</f>
        <v>62750.899999999994</v>
      </c>
      <c r="I48" s="18"/>
      <c r="J48" s="13">
        <f>SUM(I459)</f>
        <v>1545308.5599999998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101050.42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628259.94999999995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945621.07</v>
      </c>
      <c r="G51" s="41">
        <f>SUM(G35:G50)</f>
        <v>11296.67</v>
      </c>
      <c r="H51" s="41">
        <f>SUM(H35:H50)</f>
        <v>62750.899999999994</v>
      </c>
      <c r="I51" s="41">
        <f>SUM(I35:I50)</f>
        <v>0</v>
      </c>
      <c r="J51" s="41">
        <f>SUM(J35:J50)</f>
        <v>1545308.5599999998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2513117.63</v>
      </c>
      <c r="G52" s="41">
        <f>G51+G32</f>
        <v>97774.409999999989</v>
      </c>
      <c r="H52" s="41">
        <f>H51+H32</f>
        <v>112279.23999999999</v>
      </c>
      <c r="I52" s="41">
        <f>I51+I32</f>
        <v>0</v>
      </c>
      <c r="J52" s="41">
        <f>J51+J32</f>
        <v>1545308.5599999998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5611965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5611965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11175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15539.66+982.72+56739.96+70924.95+1139957.41+127226.93</f>
        <v>1411371.63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1411371.63</v>
      </c>
      <c r="G79" s="45" t="s">
        <v>289</v>
      </c>
      <c r="H79" s="41">
        <f>SUM(H63:H78)</f>
        <v>11175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19023.86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19023.86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149679.35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2161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2175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2883.68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43641.82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2640.17+836.44</f>
        <v>3476.61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928.16-0.52</f>
        <v>927.64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55265.75</v>
      </c>
      <c r="G111" s="41">
        <f>SUM(G96:G110)</f>
        <v>149679.35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7097626.2400000002</v>
      </c>
      <c r="G112" s="41">
        <f>G60+G111</f>
        <v>149679.35</v>
      </c>
      <c r="H112" s="41">
        <f>H60+H79+H94+H111</f>
        <v>11175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6375406.3300000001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1040463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7415869.3300000001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138488.60999999999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16483.2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7424.47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154971.81</v>
      </c>
      <c r="G136" s="41">
        <f>SUM(G123:G135)</f>
        <v>7424.47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4654.47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7570841.1399999997</v>
      </c>
      <c r="G140" s="41">
        <f>G121+SUM(G136:G137)</f>
        <v>7424.47</v>
      </c>
      <c r="H140" s="41">
        <f>H121+SUM(H136:H139)</f>
        <v>4654.47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12552.19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12552.19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f>13410.67+241356.4</f>
        <v>254767.07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194999.19+5355+309861.99+11250+3941.59+44495.32+35142.65+1263.74+4537.07+61524.65+33066.73+1254.81+2767.14+46370.05</f>
        <v>755829.93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3831.62+60580.32</f>
        <v>64411.94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261000.56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48049.71+253339.12+1494.78+4104.95</f>
        <v>306988.56000000006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151935.43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44483.09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151935.43</v>
      </c>
      <c r="G162" s="41">
        <f>SUM(G150:G161)</f>
        <v>261000.56</v>
      </c>
      <c r="H162" s="41">
        <f>SUM(H150:H161)</f>
        <v>1426480.59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164487.62</v>
      </c>
      <c r="G169" s="41">
        <f>G147+G162+SUM(G163:G168)</f>
        <v>261000.56</v>
      </c>
      <c r="H169" s="41">
        <f>H147+H162+SUM(H163:H168)</f>
        <v>1426480.59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51575.06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51575.06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51575.06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14832954.999999998</v>
      </c>
      <c r="G193" s="47">
        <f>G112+G140+G169+G192</f>
        <v>469679.44</v>
      </c>
      <c r="H193" s="47">
        <f>H112+H140+H169+H192</f>
        <v>1442310.06</v>
      </c>
      <c r="I193" s="47">
        <f>I112+I140+I169+I192</f>
        <v>0</v>
      </c>
      <c r="J193" s="47">
        <f>J112+J140+J192</f>
        <v>50000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2394870.88+11994.7</f>
        <v>2406865.58</v>
      </c>
      <c r="G197" s="18">
        <f>1154143.4+2570.13</f>
        <v>1156713.5299999998</v>
      </c>
      <c r="H197" s="18">
        <f>25063.9+1597.5</f>
        <v>26661.4</v>
      </c>
      <c r="I197" s="18">
        <v>69097.350000000006</v>
      </c>
      <c r="J197" s="18">
        <v>10390.030000000001</v>
      </c>
      <c r="K197" s="18"/>
      <c r="L197" s="19">
        <f>SUM(F197:K197)</f>
        <v>3669727.8899999997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1181808.94+1047.25</f>
        <v>1182856.19</v>
      </c>
      <c r="G198" s="18">
        <f>287539.44+265.8</f>
        <v>287805.24</v>
      </c>
      <c r="H198" s="18">
        <f>377133.53+62252.07</f>
        <v>439385.60000000003</v>
      </c>
      <c r="I198" s="18">
        <f>3660.84+247.79</f>
        <v>3908.63</v>
      </c>
      <c r="J198" s="18">
        <v>1317.87</v>
      </c>
      <c r="K198" s="18">
        <f>100+4327.7</f>
        <v>4427.7</v>
      </c>
      <c r="L198" s="19">
        <f>SUM(F198:K198)</f>
        <v>1919701.23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19153+50</f>
        <v>19203</v>
      </c>
      <c r="G200" s="18">
        <f>4060.91+3.17</f>
        <v>4064.08</v>
      </c>
      <c r="H200" s="18">
        <v>4369.4399999999996</v>
      </c>
      <c r="I200" s="18">
        <f>3955.2+106.5</f>
        <v>4061.7</v>
      </c>
      <c r="J200" s="18"/>
      <c r="K200" s="18"/>
      <c r="L200" s="19">
        <f>SUM(F200:K200)</f>
        <v>31698.22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246839.46+271122.5</f>
        <v>517961.95999999996</v>
      </c>
      <c r="G202" s="18">
        <f>136109.08+124372.01</f>
        <v>260481.08999999997</v>
      </c>
      <c r="H202" s="18">
        <f>17853.8+51705.29+340.09</f>
        <v>69899.179999999993</v>
      </c>
      <c r="I202" s="18">
        <f>1795.01+3882.91</f>
        <v>5677.92</v>
      </c>
      <c r="J202" s="18"/>
      <c r="K202" s="18">
        <v>237.85</v>
      </c>
      <c r="L202" s="19">
        <f t="shared" ref="L202:L208" si="0">SUM(F202:K202)</f>
        <v>854258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98863.96</v>
      </c>
      <c r="G203" s="18">
        <v>58680.03</v>
      </c>
      <c r="H203" s="18">
        <f>11417.87+543.14</f>
        <v>11961.01</v>
      </c>
      <c r="I203" s="18">
        <f>6342.18+29125.56</f>
        <v>35467.740000000005</v>
      </c>
      <c r="J203" s="18"/>
      <c r="K203" s="18">
        <v>1675.24</v>
      </c>
      <c r="L203" s="19">
        <f t="shared" si="0"/>
        <v>206647.97999999998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11896.65</v>
      </c>
      <c r="G204" s="18">
        <v>1029.48</v>
      </c>
      <c r="H204" s="18">
        <v>609586.06000000006</v>
      </c>
      <c r="I204" s="18"/>
      <c r="J204" s="18"/>
      <c r="K204" s="18">
        <v>4062.02</v>
      </c>
      <c r="L204" s="19">
        <f t="shared" si="0"/>
        <v>626574.21000000008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394357.54+674.5</f>
        <v>395032.04</v>
      </c>
      <c r="G205" s="18">
        <f>201148.95+170.61</f>
        <v>201319.56</v>
      </c>
      <c r="H205" s="18">
        <v>30459.759999999998</v>
      </c>
      <c r="I205" s="18">
        <v>4270.83</v>
      </c>
      <c r="J205" s="18">
        <v>7461.09</v>
      </c>
      <c r="K205" s="18">
        <v>2645</v>
      </c>
      <c r="L205" s="19">
        <f t="shared" si="0"/>
        <v>641188.27999999991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>
        <v>42.6</v>
      </c>
      <c r="H206" s="18"/>
      <c r="I206" s="18"/>
      <c r="J206" s="18"/>
      <c r="K206" s="18">
        <v>113.42</v>
      </c>
      <c r="L206" s="19">
        <f t="shared" si="0"/>
        <v>156.02000000000001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216259.97+93653.34</f>
        <v>309913.31</v>
      </c>
      <c r="G207" s="18">
        <f>118495.62+39076.11</f>
        <v>157571.72999999998</v>
      </c>
      <c r="H207" s="18">
        <f>122028.3+93377.76</f>
        <v>215406.06</v>
      </c>
      <c r="I207" s="18">
        <f>266706.47+12450.04</f>
        <v>279156.50999999995</v>
      </c>
      <c r="J207" s="18">
        <v>18625.169999999998</v>
      </c>
      <c r="K207" s="18"/>
      <c r="L207" s="19">
        <f t="shared" si="0"/>
        <v>980672.77999999991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3710.18+156733.69</f>
        <v>160443.87</v>
      </c>
      <c r="G208" s="18">
        <f>571.44+49393.34</f>
        <v>49964.78</v>
      </c>
      <c r="H208" s="18">
        <v>104760.98</v>
      </c>
      <c r="I208" s="18">
        <v>20934.349999999999</v>
      </c>
      <c r="J208" s="18">
        <v>18443.66</v>
      </c>
      <c r="K208" s="18">
        <v>621.25</v>
      </c>
      <c r="L208" s="19">
        <f t="shared" si="0"/>
        <v>355168.88999999996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100955.15</v>
      </c>
      <c r="G209" s="18">
        <v>51721.48</v>
      </c>
      <c r="H209" s="18">
        <v>24665.83</v>
      </c>
      <c r="I209" s="18">
        <v>30385.27</v>
      </c>
      <c r="J209" s="18">
        <v>24344.57</v>
      </c>
      <c r="K209" s="18"/>
      <c r="L209" s="19">
        <f>SUM(F209:K209)</f>
        <v>232072.30000000002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5203991.7100000009</v>
      </c>
      <c r="G211" s="41">
        <f t="shared" si="1"/>
        <v>2229393.5999999996</v>
      </c>
      <c r="H211" s="41">
        <f t="shared" si="1"/>
        <v>1537155.3200000003</v>
      </c>
      <c r="I211" s="41">
        <f t="shared" si="1"/>
        <v>452960.29999999993</v>
      </c>
      <c r="J211" s="41">
        <f t="shared" si="1"/>
        <v>80582.390000000014</v>
      </c>
      <c r="K211" s="41">
        <f t="shared" si="1"/>
        <v>13782.48</v>
      </c>
      <c r="L211" s="41">
        <f t="shared" si="1"/>
        <v>9517865.7999999989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1121019.19+4899.24</f>
        <v>1125918.43</v>
      </c>
      <c r="G233" s="18">
        <f>524055.18+1049.77</f>
        <v>525104.94999999995</v>
      </c>
      <c r="H233" s="18">
        <f>14313.35+652.5</f>
        <v>14965.85</v>
      </c>
      <c r="I233" s="18">
        <f>26150.88</f>
        <v>26150.880000000001</v>
      </c>
      <c r="J233" s="18">
        <v>581.39</v>
      </c>
      <c r="K233" s="18"/>
      <c r="L233" s="19">
        <f>SUM(F233:K233)</f>
        <v>1692721.4999999998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284489.16+427.75</f>
        <v>284916.90999999997</v>
      </c>
      <c r="G234" s="18">
        <f>103684.37+108.56</f>
        <v>103792.93</v>
      </c>
      <c r="H234" s="18">
        <f>606087.28+25426.9</f>
        <v>631514.18000000005</v>
      </c>
      <c r="I234" s="18">
        <f>176.07+101.21</f>
        <v>277.27999999999997</v>
      </c>
      <c r="J234" s="18"/>
      <c r="K234" s="18">
        <v>1767.65</v>
      </c>
      <c r="L234" s="19">
        <f>SUM(F234:K234)</f>
        <v>1022268.9500000001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116775</v>
      </c>
      <c r="I235" s="18"/>
      <c r="J235" s="18"/>
      <c r="K235" s="18"/>
      <c r="L235" s="19">
        <f>SUM(F235:K235)</f>
        <v>116775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46391+14.5</f>
        <v>46405.5</v>
      </c>
      <c r="G236" s="18">
        <f>7304.55+1.3</f>
        <v>7305.85</v>
      </c>
      <c r="H236" s="18">
        <v>18548.05</v>
      </c>
      <c r="I236" s="18">
        <f>7951.97+43.5</f>
        <v>7995.47</v>
      </c>
      <c r="J236" s="18">
        <v>3500</v>
      </c>
      <c r="K236" s="18">
        <v>2605</v>
      </c>
      <c r="L236" s="19">
        <f>SUM(F236:K236)</f>
        <v>86359.87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196150+110740.17</f>
        <v>306890.17</v>
      </c>
      <c r="G238" s="18">
        <f>78755.59+50799.84</f>
        <v>129555.43</v>
      </c>
      <c r="H238" s="18">
        <f>2420.01+21119.06+138.91</f>
        <v>23677.98</v>
      </c>
      <c r="I238" s="18">
        <f>1891.65+1585.98</f>
        <v>3477.63</v>
      </c>
      <c r="J238" s="18">
        <v>172.47</v>
      </c>
      <c r="K238" s="18">
        <f>507+97.15</f>
        <v>604.15</v>
      </c>
      <c r="L238" s="19">
        <f t="shared" ref="L238:L244" si="4">SUM(F238:K238)</f>
        <v>464377.82999999996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55840</v>
      </c>
      <c r="G239" s="18">
        <v>26916.09</v>
      </c>
      <c r="H239" s="18">
        <f>3419.47+221.84</f>
        <v>3641.31</v>
      </c>
      <c r="I239" s="18">
        <f>8384.92+11896.36</f>
        <v>20281.28</v>
      </c>
      <c r="J239" s="18"/>
      <c r="K239" s="18">
        <v>969.22</v>
      </c>
      <c r="L239" s="19">
        <f t="shared" si="4"/>
        <v>107647.9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4859.2</v>
      </c>
      <c r="G240" s="18">
        <v>420.49</v>
      </c>
      <c r="H240" s="18">
        <v>248985.85</v>
      </c>
      <c r="I240" s="18"/>
      <c r="J240" s="18"/>
      <c r="K240" s="18">
        <v>1659.14</v>
      </c>
      <c r="L240" s="19">
        <f t="shared" si="4"/>
        <v>255924.68000000002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226849+275.5</f>
        <v>227124.5</v>
      </c>
      <c r="G241" s="18">
        <f>127797.13+69.69</f>
        <v>127866.82</v>
      </c>
      <c r="H241" s="18">
        <v>9145.0300000000007</v>
      </c>
      <c r="I241" s="18">
        <v>2811.3</v>
      </c>
      <c r="J241" s="18">
        <v>615</v>
      </c>
      <c r="K241" s="18">
        <v>4102.99</v>
      </c>
      <c r="L241" s="19">
        <f t="shared" si="4"/>
        <v>371665.64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>
        <v>17.399999999999999</v>
      </c>
      <c r="H242" s="18"/>
      <c r="I242" s="18"/>
      <c r="J242" s="18"/>
      <c r="K242" s="18">
        <v>46.33</v>
      </c>
      <c r="L242" s="19">
        <f t="shared" si="4"/>
        <v>63.73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110077.06+38252.77</f>
        <v>148329.82999999999</v>
      </c>
      <c r="G243" s="18">
        <f>59994.99+15960.67</f>
        <v>75955.66</v>
      </c>
      <c r="H243" s="18">
        <f>71509.89+38140.21</f>
        <v>109650.1</v>
      </c>
      <c r="I243" s="18">
        <f>137230.29+5085.23</f>
        <v>142315.52000000002</v>
      </c>
      <c r="J243" s="18">
        <v>25760.73</v>
      </c>
      <c r="K243" s="18"/>
      <c r="L243" s="19">
        <f t="shared" si="4"/>
        <v>502011.83999999997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32228.02+64017.98</f>
        <v>96246</v>
      </c>
      <c r="G244" s="18">
        <f>4306.22+20174.75</f>
        <v>24480.97</v>
      </c>
      <c r="H244" s="18">
        <v>42789.69</v>
      </c>
      <c r="I244" s="18">
        <v>8550.65</v>
      </c>
      <c r="J244" s="18">
        <v>7533.32</v>
      </c>
      <c r="K244" s="18">
        <v>253.75</v>
      </c>
      <c r="L244" s="19">
        <f t="shared" si="4"/>
        <v>179854.38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41235.199999999997</v>
      </c>
      <c r="G245" s="18">
        <v>21125.67</v>
      </c>
      <c r="H245" s="18">
        <v>10074.780000000001</v>
      </c>
      <c r="I245" s="18">
        <v>12410.89</v>
      </c>
      <c r="J245" s="18">
        <v>9943.56</v>
      </c>
      <c r="K245" s="18"/>
      <c r="L245" s="19">
        <f>SUM(F245:K245)</f>
        <v>94790.099999999991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2337765.7399999998</v>
      </c>
      <c r="G247" s="41">
        <f t="shared" si="5"/>
        <v>1042542.2599999999</v>
      </c>
      <c r="H247" s="41">
        <f t="shared" si="5"/>
        <v>1229767.8200000003</v>
      </c>
      <c r="I247" s="41">
        <f t="shared" si="5"/>
        <v>224270.90000000002</v>
      </c>
      <c r="J247" s="41">
        <f t="shared" si="5"/>
        <v>48106.47</v>
      </c>
      <c r="K247" s="41">
        <f t="shared" si="5"/>
        <v>12008.23</v>
      </c>
      <c r="L247" s="41">
        <f t="shared" si="5"/>
        <v>4894461.42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7541757.4500000011</v>
      </c>
      <c r="G257" s="41">
        <f t="shared" si="8"/>
        <v>3271935.8599999994</v>
      </c>
      <c r="H257" s="41">
        <f t="shared" si="8"/>
        <v>2766923.1400000006</v>
      </c>
      <c r="I257" s="41">
        <f t="shared" si="8"/>
        <v>677231.2</v>
      </c>
      <c r="J257" s="41">
        <f t="shared" si="8"/>
        <v>128688.86000000002</v>
      </c>
      <c r="K257" s="41">
        <f t="shared" si="8"/>
        <v>25790.71</v>
      </c>
      <c r="L257" s="41">
        <f t="shared" si="8"/>
        <v>14412327.219999999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51575.06</v>
      </c>
      <c r="L263" s="19">
        <f>SUM(F263:K263)</f>
        <v>51575.06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101575.06</v>
      </c>
      <c r="L270" s="41">
        <f t="shared" si="9"/>
        <v>101575.06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7541757.4500000011</v>
      </c>
      <c r="G271" s="42">
        <f t="shared" si="11"/>
        <v>3271935.8599999994</v>
      </c>
      <c r="H271" s="42">
        <f t="shared" si="11"/>
        <v>2766923.1400000006</v>
      </c>
      <c r="I271" s="42">
        <f t="shared" si="11"/>
        <v>677231.2</v>
      </c>
      <c r="J271" s="42">
        <f t="shared" si="11"/>
        <v>128688.86000000002</v>
      </c>
      <c r="K271" s="42">
        <f t="shared" si="11"/>
        <v>127365.76999999999</v>
      </c>
      <c r="L271" s="42">
        <f t="shared" si="11"/>
        <v>14513902.279999999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306333.21000000002</v>
      </c>
      <c r="G276" s="18">
        <v>106590.15</v>
      </c>
      <c r="H276" s="18">
        <v>2003.23</v>
      </c>
      <c r="I276" s="18">
        <v>1649.74</v>
      </c>
      <c r="J276" s="18">
        <v>99565.95</v>
      </c>
      <c r="K276" s="18"/>
      <c r="L276" s="19">
        <f>SUM(F276:K276)</f>
        <v>516142.27999999997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524.4</v>
      </c>
      <c r="J277" s="18">
        <v>3497.42</v>
      </c>
      <c r="K277" s="18"/>
      <c r="L277" s="19">
        <f>SUM(F277:K277)</f>
        <v>4021.82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20769</v>
      </c>
      <c r="G279" s="18">
        <v>4409.88</v>
      </c>
      <c r="H279" s="18">
        <v>509.14</v>
      </c>
      <c r="I279" s="18"/>
      <c r="J279" s="18"/>
      <c r="K279" s="18"/>
      <c r="L279" s="19">
        <f>SUM(F279:K279)</f>
        <v>25688.02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915.08+3757</f>
        <v>4672.08</v>
      </c>
      <c r="G281" s="18">
        <v>35120.85</v>
      </c>
      <c r="H281" s="18"/>
      <c r="I281" s="18">
        <v>2870.15</v>
      </c>
      <c r="J281" s="18"/>
      <c r="K281" s="18">
        <v>1260</v>
      </c>
      <c r="L281" s="19">
        <f t="shared" ref="L281:L287" si="12">SUM(F281:K281)</f>
        <v>43923.08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68806.57</f>
        <v>68806.570000000007</v>
      </c>
      <c r="G282" s="18">
        <f>14831.87+1588.27</f>
        <v>16420.14</v>
      </c>
      <c r="H282" s="18">
        <f>294772.51+14325.74+5090.61</f>
        <v>314188.86</v>
      </c>
      <c r="I282" s="18">
        <f>1703.58+3025</f>
        <v>4728.58</v>
      </c>
      <c r="J282" s="18">
        <v>249.99</v>
      </c>
      <c r="K282" s="18">
        <v>50</v>
      </c>
      <c r="L282" s="19">
        <f t="shared" si="12"/>
        <v>404444.14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45757</v>
      </c>
      <c r="G283" s="18">
        <f>19072.14+10259.42</f>
        <v>29331.559999999998</v>
      </c>
      <c r="H283" s="18">
        <v>97597.5</v>
      </c>
      <c r="I283" s="18"/>
      <c r="J283" s="18"/>
      <c r="K283" s="18"/>
      <c r="L283" s="19">
        <f t="shared" si="12"/>
        <v>172686.06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1850.32</v>
      </c>
      <c r="G287" s="18">
        <v>160.79</v>
      </c>
      <c r="H287" s="18">
        <v>17250.009999999998</v>
      </c>
      <c r="I287" s="18">
        <v>720.32</v>
      </c>
      <c r="J287" s="18"/>
      <c r="K287" s="18"/>
      <c r="L287" s="19">
        <f t="shared" si="12"/>
        <v>19981.439999999999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448188.18000000005</v>
      </c>
      <c r="G290" s="42">
        <f t="shared" si="13"/>
        <v>192033.37000000002</v>
      </c>
      <c r="H290" s="42">
        <f t="shared" si="13"/>
        <v>431548.74</v>
      </c>
      <c r="I290" s="42">
        <f t="shared" si="13"/>
        <v>10493.189999999999</v>
      </c>
      <c r="J290" s="42">
        <f t="shared" si="13"/>
        <v>103313.36</v>
      </c>
      <c r="K290" s="42">
        <f t="shared" si="13"/>
        <v>1310</v>
      </c>
      <c r="L290" s="41">
        <f t="shared" si="13"/>
        <v>1186886.8399999999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1480</v>
      </c>
      <c r="G314" s="18">
        <v>279.05</v>
      </c>
      <c r="H314" s="18"/>
      <c r="I314" s="18">
        <v>4778.88</v>
      </c>
      <c r="J314" s="18">
        <v>34773.620000000003</v>
      </c>
      <c r="K314" s="18"/>
      <c r="L314" s="19">
        <f>SUM(F314:K314)</f>
        <v>41311.550000000003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20379.95</v>
      </c>
      <c r="G315" s="18">
        <v>1771.03</v>
      </c>
      <c r="H315" s="18"/>
      <c r="I315" s="18"/>
      <c r="J315" s="18"/>
      <c r="K315" s="18"/>
      <c r="L315" s="19">
        <f>SUM(F315:K315)</f>
        <v>22150.98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14397.5</v>
      </c>
      <c r="G319" s="18">
        <v>3507.37</v>
      </c>
      <c r="H319" s="18">
        <f>595+1059.5</f>
        <v>1654.5</v>
      </c>
      <c r="I319" s="18">
        <v>22.16</v>
      </c>
      <c r="J319" s="18"/>
      <c r="K319" s="18"/>
      <c r="L319" s="19">
        <f t="shared" ref="L319:L325" si="16">SUM(F319:K319)</f>
        <v>19581.53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3712</v>
      </c>
      <c r="G320" s="18">
        <v>866.92</v>
      </c>
      <c r="H320" s="18">
        <f>13194.24+12203.01</f>
        <v>25397.25</v>
      </c>
      <c r="I320" s="18"/>
      <c r="J320" s="18"/>
      <c r="K320" s="18"/>
      <c r="L320" s="19">
        <f t="shared" si="16"/>
        <v>29976.17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63190.5</v>
      </c>
      <c r="G321" s="18">
        <v>34420.74</v>
      </c>
      <c r="H321" s="18"/>
      <c r="I321" s="18"/>
      <c r="J321" s="18"/>
      <c r="K321" s="18"/>
      <c r="L321" s="19">
        <f t="shared" si="16"/>
        <v>97611.239999999991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103159.95</v>
      </c>
      <c r="G328" s="42">
        <f t="shared" si="17"/>
        <v>40845.11</v>
      </c>
      <c r="H328" s="42">
        <f t="shared" si="17"/>
        <v>27051.75</v>
      </c>
      <c r="I328" s="42">
        <f t="shared" si="17"/>
        <v>4801.04</v>
      </c>
      <c r="J328" s="42">
        <f t="shared" si="17"/>
        <v>34773.620000000003</v>
      </c>
      <c r="K328" s="42">
        <f t="shared" si="17"/>
        <v>0</v>
      </c>
      <c r="L328" s="41">
        <f t="shared" si="17"/>
        <v>210631.46999999997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551348.13</v>
      </c>
      <c r="G338" s="41">
        <f t="shared" si="20"/>
        <v>232878.48000000004</v>
      </c>
      <c r="H338" s="41">
        <f t="shared" si="20"/>
        <v>458600.49</v>
      </c>
      <c r="I338" s="41">
        <f t="shared" si="20"/>
        <v>15294.23</v>
      </c>
      <c r="J338" s="41">
        <f t="shared" si="20"/>
        <v>138086.98000000001</v>
      </c>
      <c r="K338" s="41">
        <f t="shared" si="20"/>
        <v>1310</v>
      </c>
      <c r="L338" s="41">
        <f t="shared" si="20"/>
        <v>1397518.3099999998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>SUM(F345:K345)</f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551348.13</v>
      </c>
      <c r="G352" s="41">
        <f>G338</f>
        <v>232878.48000000004</v>
      </c>
      <c r="H352" s="41">
        <f>H338</f>
        <v>458600.49</v>
      </c>
      <c r="I352" s="41">
        <f>I338</f>
        <v>15294.23</v>
      </c>
      <c r="J352" s="41">
        <f>J338</f>
        <v>138086.98000000001</v>
      </c>
      <c r="K352" s="47">
        <f>K338+K351</f>
        <v>1310</v>
      </c>
      <c r="L352" s="41">
        <f>L338+L351</f>
        <v>1397518.3099999998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37324.54+67947.77</f>
        <v>105272.31</v>
      </c>
      <c r="G358" s="18">
        <f>2855.32+5198.07+388.23+706.64</f>
        <v>9148.2599999999984</v>
      </c>
      <c r="H358" s="18">
        <v>74233.88</v>
      </c>
      <c r="I358" s="18">
        <f>140040.57+176.25</f>
        <v>140216.82</v>
      </c>
      <c r="J358" s="18"/>
      <c r="K358" s="18"/>
      <c r="L358" s="13">
        <f>SUM(F358:K358)</f>
        <v>328871.27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3000+45840.75</f>
        <v>48840.75</v>
      </c>
      <c r="G360" s="18">
        <f>3736.34+508.03</f>
        <v>4244.37</v>
      </c>
      <c r="H360" s="18">
        <v>30392.87</v>
      </c>
      <c r="I360" s="18">
        <f>57127.68+202.5</f>
        <v>57330.18</v>
      </c>
      <c r="J360" s="18"/>
      <c r="K360" s="18"/>
      <c r="L360" s="19">
        <f>SUM(F360:K360)</f>
        <v>140808.17000000001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154113.06</v>
      </c>
      <c r="G362" s="47">
        <f t="shared" si="22"/>
        <v>13392.629999999997</v>
      </c>
      <c r="H362" s="47">
        <f t="shared" si="22"/>
        <v>104626.75</v>
      </c>
      <c r="I362" s="47">
        <f t="shared" si="22"/>
        <v>197547</v>
      </c>
      <c r="J362" s="47">
        <f t="shared" si="22"/>
        <v>0</v>
      </c>
      <c r="K362" s="47">
        <f t="shared" si="22"/>
        <v>0</v>
      </c>
      <c r="L362" s="47">
        <f t="shared" si="22"/>
        <v>469679.44000000006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128121.63</v>
      </c>
      <c r="G367" s="18"/>
      <c r="H367" s="18">
        <f>52331.37+176.25</f>
        <v>52507.62</v>
      </c>
      <c r="I367" s="56">
        <f>SUM(F367:H367)</f>
        <v>180629.25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11742.69+176.25</f>
        <v>11918.94</v>
      </c>
      <c r="G368" s="63"/>
      <c r="H368" s="63">
        <f>4796.31+202.5</f>
        <v>4998.8100000000004</v>
      </c>
      <c r="I368" s="56">
        <f>SUM(F368:H368)</f>
        <v>16917.75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140040.57</v>
      </c>
      <c r="G369" s="47">
        <f>SUM(G367:G368)</f>
        <v>0</v>
      </c>
      <c r="H369" s="47">
        <f>SUM(H367:H368)</f>
        <v>57506.43</v>
      </c>
      <c r="I369" s="47">
        <f>SUM(I367:I368)</f>
        <v>197547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50000</v>
      </c>
      <c r="H390" s="18"/>
      <c r="I390" s="18"/>
      <c r="J390" s="24" t="s">
        <v>289</v>
      </c>
      <c r="K390" s="24" t="s">
        <v>289</v>
      </c>
      <c r="L390" s="56">
        <f t="shared" si="25"/>
        <v>50000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147590.72</v>
      </c>
      <c r="L422" s="56">
        <f t="shared" si="29"/>
        <v>147590.72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147590.72</v>
      </c>
      <c r="L427" s="47">
        <f t="shared" si="30"/>
        <v>147590.72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147590.72</v>
      </c>
      <c r="L434" s="47">
        <f t="shared" si="32"/>
        <v>147590.72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1269703.6499999999</v>
      </c>
      <c r="G442" s="18">
        <v>275604.90999999997</v>
      </c>
      <c r="H442" s="18"/>
      <c r="I442" s="56">
        <f t="shared" si="33"/>
        <v>1545308.5599999998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1269703.6499999999</v>
      </c>
      <c r="G446" s="13">
        <f>SUM(G439:G445)</f>
        <v>275604.90999999997</v>
      </c>
      <c r="H446" s="13">
        <f>SUM(H439:H445)</f>
        <v>0</v>
      </c>
      <c r="I446" s="13">
        <f>SUM(I439:I445)</f>
        <v>1545308.5599999998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1269703.6499999999</v>
      </c>
      <c r="G459" s="18">
        <v>275604.90999999997</v>
      </c>
      <c r="H459" s="18"/>
      <c r="I459" s="56">
        <f t="shared" si="34"/>
        <v>1545308.5599999998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1269703.6499999999</v>
      </c>
      <c r="G460" s="83">
        <f>SUM(G454:G459)</f>
        <v>275604.90999999997</v>
      </c>
      <c r="H460" s="83">
        <f>SUM(H454:H459)</f>
        <v>0</v>
      </c>
      <c r="I460" s="83">
        <f>SUM(I454:I459)</f>
        <v>1545308.5599999998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1269703.6499999999</v>
      </c>
      <c r="G461" s="42">
        <f>G452+G460</f>
        <v>275604.90999999997</v>
      </c>
      <c r="H461" s="42">
        <f>H452+H460</f>
        <v>0</v>
      </c>
      <c r="I461" s="42">
        <f>I452+I460</f>
        <v>1545308.5599999998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626568.35</v>
      </c>
      <c r="G465" s="18">
        <v>0</v>
      </c>
      <c r="H465" s="18">
        <v>17959.150000000001</v>
      </c>
      <c r="I465" s="18"/>
      <c r="J465" s="18">
        <v>1642899.28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14832955</v>
      </c>
      <c r="G468" s="18">
        <v>469679.44</v>
      </c>
      <c r="H468" s="18">
        <v>1442310.06</v>
      </c>
      <c r="I468" s="18"/>
      <c r="J468" s="18">
        <v>50000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11296.67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14832955</v>
      </c>
      <c r="G470" s="53">
        <f>SUM(G468:G469)</f>
        <v>480976.11</v>
      </c>
      <c r="H470" s="53">
        <f>SUM(H468:H469)</f>
        <v>1442310.06</v>
      </c>
      <c r="I470" s="53">
        <f>SUM(I468:I469)</f>
        <v>0</v>
      </c>
      <c r="J470" s="53">
        <f>SUM(J468:J469)</f>
        <v>50000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14513902.279999999</v>
      </c>
      <c r="G472" s="18">
        <v>469679.44</v>
      </c>
      <c r="H472" s="18">
        <v>1397518.31</v>
      </c>
      <c r="I472" s="18"/>
      <c r="J472" s="18">
        <v>147590.72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14513902.279999999</v>
      </c>
      <c r="G474" s="53">
        <f>SUM(G472:G473)</f>
        <v>469679.44</v>
      </c>
      <c r="H474" s="53">
        <f>SUM(H472:H473)</f>
        <v>1397518.31</v>
      </c>
      <c r="I474" s="53">
        <f>SUM(I472:I473)</f>
        <v>0</v>
      </c>
      <c r="J474" s="53">
        <f>SUM(J472:J473)</f>
        <v>147590.72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945621.0700000003</v>
      </c>
      <c r="G476" s="53">
        <f>(G465+G470)- G474</f>
        <v>11296.669999999984</v>
      </c>
      <c r="H476" s="53">
        <f>(H465+H470)- H474</f>
        <v>62750.899999999907</v>
      </c>
      <c r="I476" s="53">
        <f>(I465+I470)- I474</f>
        <v>0</v>
      </c>
      <c r="J476" s="53">
        <f>(J465+J470)- J474</f>
        <v>1545308.56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194488.72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118188.97</v>
      </c>
      <c r="G495" s="18"/>
      <c r="H495" s="18"/>
      <c r="I495" s="18"/>
      <c r="J495" s="18"/>
      <c r="K495" s="53">
        <f>SUM(F495:J495)</f>
        <v>118188.97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79829.86</v>
      </c>
      <c r="G498" s="204"/>
      <c r="H498" s="204"/>
      <c r="I498" s="204"/>
      <c r="J498" s="204"/>
      <c r="K498" s="205">
        <f t="shared" si="35"/>
        <v>79829.86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3223.28</v>
      </c>
      <c r="G499" s="18"/>
      <c r="H499" s="18"/>
      <c r="I499" s="18"/>
      <c r="J499" s="18"/>
      <c r="K499" s="53">
        <f t="shared" si="35"/>
        <v>3223.28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83053.14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83053.14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39387.129999999997</v>
      </c>
      <c r="G501" s="204"/>
      <c r="H501" s="204"/>
      <c r="I501" s="204"/>
      <c r="J501" s="204"/>
      <c r="K501" s="205">
        <f t="shared" si="35"/>
        <v>39387.129999999997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2139.44</v>
      </c>
      <c r="G502" s="18"/>
      <c r="H502" s="18"/>
      <c r="I502" s="18"/>
      <c r="J502" s="18"/>
      <c r="K502" s="53">
        <f t="shared" si="35"/>
        <v>2139.44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41526.57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41526.57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1047.25+1181808.94</f>
        <v>1182856.19</v>
      </c>
      <c r="G521" s="18">
        <f>265.62+287539.44</f>
        <v>287805.06</v>
      </c>
      <c r="H521" s="18">
        <f>43436.44+247.79+377133.53</f>
        <v>420817.76</v>
      </c>
      <c r="I521" s="18">
        <v>3660.84</v>
      </c>
      <c r="J521" s="18">
        <v>1317.87</v>
      </c>
      <c r="K521" s="18">
        <v>4327.7</v>
      </c>
      <c r="L521" s="88">
        <f>SUM(F521:K521)</f>
        <v>1900785.4200000002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427.75+304869.11</f>
        <v>305296.86</v>
      </c>
      <c r="G523" s="18">
        <f>108.49+105455.4</f>
        <v>105563.89</v>
      </c>
      <c r="H523" s="18">
        <f>17741.65+101.21+606087.28</f>
        <v>623930.14</v>
      </c>
      <c r="I523" s="18">
        <v>176.07</v>
      </c>
      <c r="J523" s="18"/>
      <c r="K523" s="18">
        <v>1767.65</v>
      </c>
      <c r="L523" s="88">
        <f>SUM(F523:K523)</f>
        <v>1036734.61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1488153.0499999998</v>
      </c>
      <c r="G524" s="108">
        <f t="shared" ref="G524:L524" si="36">SUM(G521:G523)</f>
        <v>393368.95</v>
      </c>
      <c r="H524" s="108">
        <f t="shared" si="36"/>
        <v>1044747.9</v>
      </c>
      <c r="I524" s="108">
        <f t="shared" si="36"/>
        <v>3836.9100000000003</v>
      </c>
      <c r="J524" s="108">
        <f t="shared" si="36"/>
        <v>1317.87</v>
      </c>
      <c r="K524" s="108">
        <f t="shared" si="36"/>
        <v>6095.35</v>
      </c>
      <c r="L524" s="89">
        <f t="shared" si="36"/>
        <v>2937520.0300000003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351163.29</v>
      </c>
      <c r="G526" s="18">
        <v>166427.45000000001</v>
      </c>
      <c r="H526" s="18">
        <v>60344.6</v>
      </c>
      <c r="I526" s="18">
        <v>4802.7299999999996</v>
      </c>
      <c r="J526" s="18">
        <v>122.45</v>
      </c>
      <c r="K526" s="18">
        <v>237.85</v>
      </c>
      <c r="L526" s="88">
        <f>SUM(F526:K526)</f>
        <v>583098.36999999988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143432.93</v>
      </c>
      <c r="G528" s="18">
        <v>67977.41</v>
      </c>
      <c r="H528" s="18">
        <v>24647.79</v>
      </c>
      <c r="I528" s="18">
        <v>1961.68</v>
      </c>
      <c r="J528" s="18">
        <v>50.02</v>
      </c>
      <c r="K528" s="18">
        <v>97.15</v>
      </c>
      <c r="L528" s="88">
        <f>SUM(F528:K528)</f>
        <v>238166.97999999998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494596.22</v>
      </c>
      <c r="G529" s="89">
        <f t="shared" ref="G529:L529" si="37">SUM(G526:G528)</f>
        <v>234404.86000000002</v>
      </c>
      <c r="H529" s="89">
        <f t="shared" si="37"/>
        <v>84992.39</v>
      </c>
      <c r="I529" s="89">
        <f t="shared" si="37"/>
        <v>6764.41</v>
      </c>
      <c r="J529" s="89">
        <f t="shared" si="37"/>
        <v>172.47</v>
      </c>
      <c r="K529" s="89">
        <f t="shared" si="37"/>
        <v>335</v>
      </c>
      <c r="L529" s="89">
        <f t="shared" si="37"/>
        <v>821265.34999999986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84653.3</v>
      </c>
      <c r="G531" s="18">
        <v>33624.519999999997</v>
      </c>
      <c r="H531" s="18"/>
      <c r="I531" s="18"/>
      <c r="J531" s="18"/>
      <c r="K531" s="18"/>
      <c r="L531" s="88">
        <f>SUM(F531:K531)</f>
        <v>118277.82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34576.699999999997</v>
      </c>
      <c r="G533" s="18">
        <v>13733.96</v>
      </c>
      <c r="H533" s="18"/>
      <c r="I533" s="18"/>
      <c r="J533" s="18"/>
      <c r="K533" s="18"/>
      <c r="L533" s="88">
        <f>SUM(F533:K533)</f>
        <v>48310.659999999996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119230</v>
      </c>
      <c r="G534" s="89">
        <f t="shared" ref="G534:L534" si="38">SUM(G531:G533)</f>
        <v>47358.479999999996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166588.48000000001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5493.37</v>
      </c>
      <c r="I536" s="18"/>
      <c r="J536" s="18"/>
      <c r="K536" s="18"/>
      <c r="L536" s="88">
        <f>SUM(F536:K536)</f>
        <v>5493.37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2243.77</v>
      </c>
      <c r="I538" s="18"/>
      <c r="J538" s="18"/>
      <c r="K538" s="18"/>
      <c r="L538" s="88">
        <f>SUM(F538:K538)</f>
        <v>2243.77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7737.1399999999994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7737.1399999999994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58276.21</v>
      </c>
      <c r="G541" s="18">
        <v>16123.4</v>
      </c>
      <c r="H541" s="18">
        <v>10917</v>
      </c>
      <c r="I541" s="18"/>
      <c r="J541" s="18"/>
      <c r="K541" s="18"/>
      <c r="L541" s="88">
        <f>SUM(F541:K541)</f>
        <v>85316.61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23802.959999999999</v>
      </c>
      <c r="G543" s="18">
        <v>6585.61</v>
      </c>
      <c r="H543" s="18">
        <v>4459.05</v>
      </c>
      <c r="I543" s="18"/>
      <c r="J543" s="18"/>
      <c r="K543" s="18"/>
      <c r="L543" s="88">
        <f>SUM(F543:K543)</f>
        <v>34847.620000000003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82079.17</v>
      </c>
      <c r="G544" s="193">
        <f t="shared" ref="G544:L544" si="40">SUM(G541:G543)</f>
        <v>22709.01</v>
      </c>
      <c r="H544" s="193">
        <f t="shared" si="40"/>
        <v>15376.05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120164.23000000001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2184058.4399999995</v>
      </c>
      <c r="G545" s="89">
        <f t="shared" ref="G545:L545" si="41">G524+G529+G534+G539+G544</f>
        <v>697841.3</v>
      </c>
      <c r="H545" s="89">
        <f t="shared" si="41"/>
        <v>1152853.48</v>
      </c>
      <c r="I545" s="89">
        <f t="shared" si="41"/>
        <v>10601.32</v>
      </c>
      <c r="J545" s="89">
        <f t="shared" si="41"/>
        <v>1490.34</v>
      </c>
      <c r="K545" s="89">
        <f t="shared" si="41"/>
        <v>6430.35</v>
      </c>
      <c r="L545" s="89">
        <f t="shared" si="41"/>
        <v>4053275.23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1900785.4200000002</v>
      </c>
      <c r="G549" s="87">
        <f>L526</f>
        <v>583098.36999999988</v>
      </c>
      <c r="H549" s="87">
        <f>L531</f>
        <v>118277.82</v>
      </c>
      <c r="I549" s="87">
        <f>L536</f>
        <v>5493.37</v>
      </c>
      <c r="J549" s="87">
        <f>L541</f>
        <v>85316.61</v>
      </c>
      <c r="K549" s="87">
        <f>SUM(F549:J549)</f>
        <v>2692971.59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1036734.61</v>
      </c>
      <c r="G551" s="87">
        <f>L528</f>
        <v>238166.97999999998</v>
      </c>
      <c r="H551" s="87">
        <f>L533</f>
        <v>48310.659999999996</v>
      </c>
      <c r="I551" s="87">
        <f>L538</f>
        <v>2243.77</v>
      </c>
      <c r="J551" s="87">
        <f>L543</f>
        <v>34847.620000000003</v>
      </c>
      <c r="K551" s="87">
        <f>SUM(F551:J551)</f>
        <v>1360303.64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2937520.0300000003</v>
      </c>
      <c r="G552" s="89">
        <f t="shared" si="42"/>
        <v>821265.34999999986</v>
      </c>
      <c r="H552" s="89">
        <f t="shared" si="42"/>
        <v>166588.48000000001</v>
      </c>
      <c r="I552" s="89">
        <f t="shared" si="42"/>
        <v>7737.1399999999994</v>
      </c>
      <c r="J552" s="89">
        <f t="shared" si="42"/>
        <v>120164.23000000001</v>
      </c>
      <c r="K552" s="89">
        <f t="shared" si="42"/>
        <v>4053275.2299999995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18815.8</v>
      </c>
      <c r="I562" s="18"/>
      <c r="J562" s="18"/>
      <c r="K562" s="18"/>
      <c r="L562" s="88">
        <f>SUM(F562:K562)</f>
        <v>18815.8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v>7420.32</v>
      </c>
      <c r="I564" s="18"/>
      <c r="J564" s="18"/>
      <c r="K564" s="18"/>
      <c r="L564" s="88">
        <f>SUM(F564:K564)</f>
        <v>7420.32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26236.12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26236.12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26236.12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26236.12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1275.3599999999999</v>
      </c>
      <c r="G579" s="18"/>
      <c r="H579" s="18">
        <v>2318.7600000000002</v>
      </c>
      <c r="I579" s="87">
        <f t="shared" si="47"/>
        <v>3594.12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371692.59</v>
      </c>
      <c r="G582" s="18"/>
      <c r="H582" s="18">
        <v>602859.68000000005</v>
      </c>
      <c r="I582" s="87">
        <f t="shared" si="47"/>
        <v>974552.27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116775</v>
      </c>
      <c r="I584" s="87">
        <f t="shared" si="47"/>
        <v>116775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198783.74</v>
      </c>
      <c r="I591" s="18"/>
      <c r="J591" s="18">
        <v>81193.36</v>
      </c>
      <c r="K591" s="104">
        <f t="shared" ref="K591:K597" si="48">SUM(H591:J591)</f>
        <v>279977.09999999998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85316.6</v>
      </c>
      <c r="I592" s="18"/>
      <c r="J592" s="18">
        <v>34847.629999999997</v>
      </c>
      <c r="K592" s="104">
        <f t="shared" si="48"/>
        <v>120164.23000000001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24370.27</v>
      </c>
      <c r="K593" s="104">
        <f t="shared" si="48"/>
        <v>24370.27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1552.58</v>
      </c>
      <c r="I594" s="18"/>
      <c r="J594" s="18">
        <v>11243.27</v>
      </c>
      <c r="K594" s="104">
        <f t="shared" si="48"/>
        <v>12795.85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3004.29</f>
        <v>3004.29</v>
      </c>
      <c r="I595" s="18"/>
      <c r="J595" s="18">
        <v>1033.1300000000001</v>
      </c>
      <c r="K595" s="104">
        <f t="shared" si="48"/>
        <v>4037.42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8260.2099999999991</v>
      </c>
      <c r="I596" s="18"/>
      <c r="J596" s="18">
        <v>3373.9</v>
      </c>
      <c r="K596" s="104">
        <f t="shared" si="48"/>
        <v>11634.109999999999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58251.47</v>
      </c>
      <c r="I597" s="18"/>
      <c r="J597" s="18">
        <v>23792.82</v>
      </c>
      <c r="K597" s="104">
        <f t="shared" si="48"/>
        <v>82044.290000000008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355168.89</v>
      </c>
      <c r="I598" s="108">
        <f>SUM(I591:I597)</f>
        <v>0</v>
      </c>
      <c r="J598" s="108">
        <f>SUM(J591:J597)</f>
        <v>179854.37999999998</v>
      </c>
      <c r="K598" s="108">
        <f>SUM(K591:K597)</f>
        <v>535023.2699999999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177141.14</v>
      </c>
      <c r="I604" s="18"/>
      <c r="J604" s="18">
        <v>89634.7</v>
      </c>
      <c r="K604" s="104">
        <f>SUM(H604:J604)</f>
        <v>266775.84000000003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177141.14</v>
      </c>
      <c r="I605" s="108">
        <f>SUM(I602:I604)</f>
        <v>0</v>
      </c>
      <c r="J605" s="108">
        <f>SUM(J602:J604)</f>
        <v>89634.7</v>
      </c>
      <c r="K605" s="108">
        <f>SUM(K602:K604)</f>
        <v>266775.84000000003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27006.5</v>
      </c>
      <c r="G611" s="18">
        <f>2066+2442.01</f>
        <v>4508.01</v>
      </c>
      <c r="H611" s="18"/>
      <c r="I611" s="18"/>
      <c r="J611" s="18"/>
      <c r="K611" s="18"/>
      <c r="L611" s="88">
        <f>SUM(F611:K611)</f>
        <v>31514.510000000002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6098.75</v>
      </c>
      <c r="G613" s="18">
        <f>466.55+802.31</f>
        <v>1268.8599999999999</v>
      </c>
      <c r="H613" s="18"/>
      <c r="I613" s="18"/>
      <c r="J613" s="18"/>
      <c r="K613" s="18"/>
      <c r="L613" s="88">
        <f>SUM(F613:K613)</f>
        <v>7367.61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33105.25</v>
      </c>
      <c r="G614" s="108">
        <f t="shared" si="49"/>
        <v>5776.87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38882.120000000003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2513117.63</v>
      </c>
      <c r="H617" s="109">
        <f>SUM(F52)</f>
        <v>2513117.63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97774.41</v>
      </c>
      <c r="H618" s="109">
        <f>SUM(G52)</f>
        <v>97774.409999999989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112279.23999999999</v>
      </c>
      <c r="H619" s="109">
        <f>SUM(H52)</f>
        <v>112279.23999999999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1545308.5599999998</v>
      </c>
      <c r="H621" s="109">
        <f>SUM(J52)</f>
        <v>1545308.5599999998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945621.07</v>
      </c>
      <c r="H622" s="109">
        <f>F476</f>
        <v>945621.0700000003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11296.67</v>
      </c>
      <c r="H623" s="109">
        <f>G476</f>
        <v>11296.669999999984</v>
      </c>
      <c r="I623" s="121" t="s">
        <v>102</v>
      </c>
      <c r="J623" s="109">
        <f t="shared" si="50"/>
        <v>1.6370904631912708E-11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62750.899999999994</v>
      </c>
      <c r="H624" s="109">
        <f>H476</f>
        <v>62750.899999999907</v>
      </c>
      <c r="I624" s="121" t="s">
        <v>103</v>
      </c>
      <c r="J624" s="109">
        <f t="shared" si="50"/>
        <v>8.7311491370201111E-11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1545308.5599999998</v>
      </c>
      <c r="H626" s="109">
        <f>J476</f>
        <v>1545308.56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14832954.999999998</v>
      </c>
      <c r="H627" s="104">
        <f>SUM(F468)</f>
        <v>14832955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469679.44</v>
      </c>
      <c r="H628" s="104">
        <f>SUM(G468)</f>
        <v>469679.44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1442310.06</v>
      </c>
      <c r="H629" s="104">
        <f>SUM(H468)</f>
        <v>1442310.06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14513902.279999999</v>
      </c>
      <c r="H632" s="104">
        <f>SUM(F472)</f>
        <v>14513902.279999999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1397518.3099999998</v>
      </c>
      <c r="H633" s="104">
        <f>SUM(H472)</f>
        <v>1397518.31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197547</v>
      </c>
      <c r="H634" s="104">
        <f>I369</f>
        <v>197547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469679.44000000006</v>
      </c>
      <c r="H635" s="104">
        <f>SUM(G472)</f>
        <v>469679.44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147590.72</v>
      </c>
      <c r="H638" s="164">
        <f>SUM(J472)</f>
        <v>147590.72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1269703.6499999999</v>
      </c>
      <c r="H639" s="104">
        <f>SUM(F461)</f>
        <v>1269703.6499999999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275604.90999999997</v>
      </c>
      <c r="H640" s="104">
        <f>SUM(G461)</f>
        <v>275604.90999999997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1545308.5599999998</v>
      </c>
      <c r="H642" s="104">
        <f>SUM(I461)</f>
        <v>1545308.5599999998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535023.2699999999</v>
      </c>
      <c r="H647" s="104">
        <f>L208+L226+L244</f>
        <v>535023.27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266775.84000000003</v>
      </c>
      <c r="H648" s="104">
        <f>(J257+J338)-(J255+J336)</f>
        <v>266775.84000000003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355168.88999999996</v>
      </c>
      <c r="H649" s="104">
        <f>H598</f>
        <v>355168.89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179854.38</v>
      </c>
      <c r="H651" s="104">
        <f>J598</f>
        <v>179854.37999999998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51575.06</v>
      </c>
      <c r="H652" s="104">
        <f>K263+K345</f>
        <v>51575.06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11033623.909999998</v>
      </c>
      <c r="G660" s="19">
        <f>(L229+L309+L359)</f>
        <v>0</v>
      </c>
      <c r="H660" s="19">
        <f>(L247+L328+L360)</f>
        <v>5245901.0599999996</v>
      </c>
      <c r="I660" s="19">
        <f>SUM(F660:H660)</f>
        <v>16279524.969999999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104806.0309543771</v>
      </c>
      <c r="G661" s="19">
        <f>(L359/IF(SUM(L358:L360)=0,1,SUM(L358:L360))*(SUM(G97:G110)))</f>
        <v>0</v>
      </c>
      <c r="H661" s="19">
        <f>(L360/IF(SUM(L358:L360)=0,1,SUM(L358:L360))*(SUM(G97:G110)))</f>
        <v>44873.319045622906</v>
      </c>
      <c r="I661" s="19">
        <f>SUM(F661:H661)</f>
        <v>149679.35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356706.67</v>
      </c>
      <c r="G662" s="19">
        <f>(L226+L306)-(J226+J306)</f>
        <v>0</v>
      </c>
      <c r="H662" s="19">
        <f>(L244+L325)-(J244+J325)</f>
        <v>172321.06</v>
      </c>
      <c r="I662" s="19">
        <f>SUM(F662:H662)</f>
        <v>529027.73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581623.60000000009</v>
      </c>
      <c r="G663" s="199">
        <f>SUM(G575:G587)+SUM(I602:I604)+L612</f>
        <v>0</v>
      </c>
      <c r="H663" s="199">
        <f>SUM(H575:H587)+SUM(J602:J604)+L613</f>
        <v>818955.75</v>
      </c>
      <c r="I663" s="19">
        <f>SUM(F663:H663)</f>
        <v>1400579.35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9990487.609045621</v>
      </c>
      <c r="G664" s="19">
        <f>G660-SUM(G661:G663)</f>
        <v>0</v>
      </c>
      <c r="H664" s="19">
        <f>H660-SUM(H661:H663)</f>
        <v>4209750.9309543762</v>
      </c>
      <c r="I664" s="19">
        <f>I660-SUM(I661:I663)</f>
        <v>14200238.539999999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742.24</v>
      </c>
      <c r="G665" s="248"/>
      <c r="H665" s="248">
        <v>289.24</v>
      </c>
      <c r="I665" s="19">
        <f>SUM(F665:H665)</f>
        <v>1031.48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13459.92</v>
      </c>
      <c r="G667" s="19" t="e">
        <f>ROUND(G664/G665,2)</f>
        <v>#DIV/0!</v>
      </c>
      <c r="H667" s="19">
        <f>ROUND(H664/H665,2)</f>
        <v>14554.53</v>
      </c>
      <c r="I667" s="19">
        <f>ROUND(I664/I665,2)</f>
        <v>13766.86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</v>
      </c>
      <c r="I670" s="19">
        <f>SUM(F670:H670)</f>
        <v>-10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13459.92</v>
      </c>
      <c r="G672" s="19" t="e">
        <f>ROUND((G664+G669)/(G665+G670),2)</f>
        <v>#DIV/0!</v>
      </c>
      <c r="H672" s="19">
        <f>ROUND((H664+H669)/(H665+H670),2)</f>
        <v>15075.74</v>
      </c>
      <c r="I672" s="19">
        <f>ROUND((I664+I669)/(I665+I670),2)</f>
        <v>13901.63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F15" sqref="F15:F1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Farmington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3840597.2199999997</v>
      </c>
      <c r="C9" s="229">
        <f>'DOE25'!G197+'DOE25'!G215+'DOE25'!G233+'DOE25'!G276+'DOE25'!G295+'DOE25'!G314</f>
        <v>1788687.6799999997</v>
      </c>
    </row>
    <row r="10" spans="1:3" x14ac:dyDescent="0.2">
      <c r="A10" t="s">
        <v>779</v>
      </c>
      <c r="B10" s="240">
        <f>17607.9+1065990.46+1278978.28+1086265.15+16893.94+37.5+60+126680+91025.4+6075.68+6339.84+6339.84+1584.96</f>
        <v>3703878.9499999993</v>
      </c>
      <c r="C10" s="240">
        <f>253500.8+324635.62+259223.98+26648.38+15849.6+7938.32+9558.34+7545.91+1045.8+697.2+1292.43+74745.72+90406.99+78300.36+2138.05+166999.09+201575.29+164202.41+20007.5+533.98+135.36+14388.97+150.43+189.42+11203.72+13579.51+11715.44</f>
        <v>1758208.6199999999</v>
      </c>
    </row>
    <row r="11" spans="1:3" x14ac:dyDescent="0.2">
      <c r="A11" t="s">
        <v>780</v>
      </c>
      <c r="B11" s="240">
        <f>36528.41+44219.94</f>
        <v>80748.350000000006</v>
      </c>
      <c r="C11" s="240">
        <f>12047.32+260.73+108.92+10109.19+73.44+39.79+3067.08</f>
        <v>25706.47</v>
      </c>
    </row>
    <row r="12" spans="1:3" x14ac:dyDescent="0.2">
      <c r="A12" t="s">
        <v>781</v>
      </c>
      <c r="B12" s="240">
        <f>10790+26659.12+10746.3+260+1137.5+560+65+520+3408+864+960</f>
        <v>55969.919999999998</v>
      </c>
      <c r="C12" s="240">
        <f>2.7+1034.53+35.5+14.84+849.73+9.98+5.41+2000+800+19.9</f>
        <v>4772.59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3840597.2199999993</v>
      </c>
      <c r="C13" s="231">
        <f>SUM(C10:C12)</f>
        <v>1788687.68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1488153.0499999998</v>
      </c>
      <c r="C18" s="229">
        <f>'DOE25'!G198+'DOE25'!G216+'DOE25'!G234+'DOE25'!G277+'DOE25'!G296+'DOE25'!G315</f>
        <v>393369.2</v>
      </c>
    </row>
    <row r="19" spans="1:3" x14ac:dyDescent="0.2">
      <c r="A19" t="s">
        <v>779</v>
      </c>
      <c r="B19" s="240">
        <f>209833.32+273445+201820+5504+5248+2560+2048+40496+1100+4490.72+3698.24+1584.96</f>
        <v>751828.24</v>
      </c>
      <c r="C19" s="240">
        <f>45371.92+55304.88+46311.7+1743+1551.72+1669.05+28.69+84.15+43153.75+43421.7+20468.46+1559.02+58.77+172.37+40216.16+12611.14+19068.88</f>
        <v>332795.36</v>
      </c>
    </row>
    <row r="20" spans="1:3" x14ac:dyDescent="0.2">
      <c r="A20" t="s">
        <v>780</v>
      </c>
      <c r="B20" s="240">
        <f>20379.95+312825.93+293889.73+76105.2+6622.5+4800+978.75</f>
        <v>715602.05999999994</v>
      </c>
      <c r="C20" s="240">
        <f>54743.55+3291.76</f>
        <v>58035.310000000005</v>
      </c>
    </row>
    <row r="21" spans="1:3" x14ac:dyDescent="0.2">
      <c r="A21" t="s">
        <v>781</v>
      </c>
      <c r="B21" s="240">
        <f>375+300+4357.5+1440.25+6467.5+7782.5</f>
        <v>20722.75</v>
      </c>
      <c r="C21" s="240">
        <f>1585.29+953.24</f>
        <v>2538.5299999999997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1488153.0499999998</v>
      </c>
      <c r="C22" s="231">
        <f>SUM(C19:C21)</f>
        <v>393369.2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86377.5</v>
      </c>
      <c r="C36" s="235">
        <f>'DOE25'!G200+'DOE25'!G218+'DOE25'!G236+'DOE25'!G279+'DOE25'!G298+'DOE25'!G317</f>
        <v>15779.810000000001</v>
      </c>
    </row>
    <row r="37" spans="1:3" x14ac:dyDescent="0.2">
      <c r="A37" t="s">
        <v>779</v>
      </c>
      <c r="B37" s="240">
        <f>1376+1376+2784+2560+6208+7744</f>
        <v>22048</v>
      </c>
      <c r="C37" s="240">
        <v>5382.03</v>
      </c>
    </row>
    <row r="38" spans="1:3" x14ac:dyDescent="0.2">
      <c r="A38" t="s">
        <v>780</v>
      </c>
      <c r="B38" s="240">
        <f>3105+960</f>
        <v>4065</v>
      </c>
      <c r="C38" s="240">
        <v>329.67</v>
      </c>
    </row>
    <row r="39" spans="1:3" x14ac:dyDescent="0.2">
      <c r="A39" t="s">
        <v>781</v>
      </c>
      <c r="B39" s="240">
        <f>50+22605+37595+14.5</f>
        <v>60264.5</v>
      </c>
      <c r="C39" s="240">
        <f>4.47+5296.73+4766.91</f>
        <v>10068.11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86377.5</v>
      </c>
      <c r="C40" s="231">
        <f>SUM(C37:C39)</f>
        <v>15779.810000000001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Farmington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8539252.6599999983</v>
      </c>
      <c r="D5" s="20">
        <f>SUM('DOE25'!L197:L200)+SUM('DOE25'!L215:L218)+SUM('DOE25'!L233:L236)-F5-G5</f>
        <v>8514663.0199999996</v>
      </c>
      <c r="E5" s="243"/>
      <c r="F5" s="255">
        <f>SUM('DOE25'!J197:J200)+SUM('DOE25'!J215:J218)+SUM('DOE25'!J233:J236)</f>
        <v>15789.29</v>
      </c>
      <c r="G5" s="53">
        <f>SUM('DOE25'!K197:K200)+SUM('DOE25'!K215:K218)+SUM('DOE25'!K233:K236)</f>
        <v>8800.3499999999985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1318635.83</v>
      </c>
      <c r="D6" s="20">
        <f>'DOE25'!L202+'DOE25'!L220+'DOE25'!L238-F6-G6</f>
        <v>1317621.3600000001</v>
      </c>
      <c r="E6" s="243"/>
      <c r="F6" s="255">
        <f>'DOE25'!J202+'DOE25'!J220+'DOE25'!J238</f>
        <v>172.47</v>
      </c>
      <c r="G6" s="53">
        <f>'DOE25'!K202+'DOE25'!K220+'DOE25'!K238</f>
        <v>842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314295.88</v>
      </c>
      <c r="D7" s="20">
        <f>'DOE25'!L203+'DOE25'!L221+'DOE25'!L239-F7-G7</f>
        <v>311651.42</v>
      </c>
      <c r="E7" s="243"/>
      <c r="F7" s="255">
        <f>'DOE25'!J203+'DOE25'!J221+'DOE25'!J239</f>
        <v>0</v>
      </c>
      <c r="G7" s="53">
        <f>'DOE25'!K203+'DOE25'!K221+'DOE25'!K239</f>
        <v>2644.46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492493.12000000005</v>
      </c>
      <c r="D8" s="243"/>
      <c r="E8" s="20">
        <f>'DOE25'!L204+'DOE25'!L222+'DOE25'!L240-F8-G8-D9-D11</f>
        <v>486771.96000000008</v>
      </c>
      <c r="F8" s="255">
        <f>'DOE25'!J204+'DOE25'!J222+'DOE25'!J240</f>
        <v>0</v>
      </c>
      <c r="G8" s="53">
        <f>'DOE25'!K204+'DOE25'!K222+'DOE25'!K240</f>
        <v>5721.16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129655.75</v>
      </c>
      <c r="D9" s="244">
        <v>129655.75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2000</v>
      </c>
      <c r="D10" s="243"/>
      <c r="E10" s="244">
        <v>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260350.02</v>
      </c>
      <c r="D11" s="244">
        <v>260350.02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1012853.9199999999</v>
      </c>
      <c r="D12" s="20">
        <f>'DOE25'!L205+'DOE25'!L223+'DOE25'!L241-F12-G12</f>
        <v>998029.84</v>
      </c>
      <c r="E12" s="243"/>
      <c r="F12" s="255">
        <f>'DOE25'!J205+'DOE25'!J223+'DOE25'!J241</f>
        <v>8076.09</v>
      </c>
      <c r="G12" s="53">
        <f>'DOE25'!K205+'DOE25'!K223+'DOE25'!K241</f>
        <v>6747.99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219.75</v>
      </c>
      <c r="D13" s="243"/>
      <c r="E13" s="20">
        <f>'DOE25'!L206+'DOE25'!L224+'DOE25'!L242-F13-G13</f>
        <v>60</v>
      </c>
      <c r="F13" s="255">
        <f>'DOE25'!J206+'DOE25'!J224+'DOE25'!J242</f>
        <v>0</v>
      </c>
      <c r="G13" s="53">
        <f>'DOE25'!K206+'DOE25'!K224+'DOE25'!K242</f>
        <v>159.75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1482684.6199999999</v>
      </c>
      <c r="D14" s="20">
        <f>'DOE25'!L207+'DOE25'!L225+'DOE25'!L243-F14-G14</f>
        <v>1438298.72</v>
      </c>
      <c r="E14" s="243"/>
      <c r="F14" s="255">
        <f>'DOE25'!J207+'DOE25'!J225+'DOE25'!J243</f>
        <v>44385.899999999994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535023.27</v>
      </c>
      <c r="D15" s="20">
        <f>'DOE25'!L208+'DOE25'!L226+'DOE25'!L244-F15-G15</f>
        <v>508171.29000000004</v>
      </c>
      <c r="E15" s="243"/>
      <c r="F15" s="255">
        <f>'DOE25'!J208+'DOE25'!J226+'DOE25'!J244</f>
        <v>25976.98</v>
      </c>
      <c r="G15" s="53">
        <f>'DOE25'!K208+'DOE25'!K226+'DOE25'!K244</f>
        <v>875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326862.40000000002</v>
      </c>
      <c r="D16" s="243"/>
      <c r="E16" s="20">
        <f>'DOE25'!L209+'DOE25'!L227+'DOE25'!L245-F16-G16</f>
        <v>292574.27</v>
      </c>
      <c r="F16" s="255">
        <f>'DOE25'!J209+'DOE25'!J227+'DOE25'!J245</f>
        <v>34288.129999999997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289050.19000000006</v>
      </c>
      <c r="D29" s="20">
        <f>'DOE25'!L358+'DOE25'!L359+'DOE25'!L360-'DOE25'!I367-F29-G29</f>
        <v>289050.19000000006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1397518.3099999998</v>
      </c>
      <c r="D31" s="20">
        <f>'DOE25'!L290+'DOE25'!L309+'DOE25'!L328+'DOE25'!L333+'DOE25'!L334+'DOE25'!L335-F31-G31</f>
        <v>1258121.3299999998</v>
      </c>
      <c r="E31" s="243"/>
      <c r="F31" s="255">
        <f>'DOE25'!J290+'DOE25'!J309+'DOE25'!J328+'DOE25'!J333+'DOE25'!J334+'DOE25'!J335</f>
        <v>138086.98000000001</v>
      </c>
      <c r="G31" s="53">
        <f>'DOE25'!K290+'DOE25'!K309+'DOE25'!K328+'DOE25'!K333+'DOE25'!K334+'DOE25'!K335</f>
        <v>1310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15025612.939999998</v>
      </c>
      <c r="E33" s="246">
        <f>SUM(E5:E31)</f>
        <v>781406.2300000001</v>
      </c>
      <c r="F33" s="246">
        <f>SUM(F5:F31)</f>
        <v>266775.83999999997</v>
      </c>
      <c r="G33" s="246">
        <f>SUM(G5:G31)</f>
        <v>27100.71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781406.2300000001</v>
      </c>
      <c r="E35" s="249"/>
    </row>
    <row r="36" spans="2:8" ht="12" thickTop="1" x14ac:dyDescent="0.2">
      <c r="B36" t="s">
        <v>815</v>
      </c>
      <c r="D36" s="20">
        <f>D33</f>
        <v>15025612.939999998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83" activePane="bottomLeft" state="frozen"/>
      <selection activeCell="F46" sqref="F46"/>
      <selection pane="bottomLeft" activeCell="I57" sqref="I5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2506814.79</v>
      </c>
      <c r="D8" s="95">
        <f>'DOE25'!G9</f>
        <v>41950.92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33643.980000000003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50456.12</v>
      </c>
      <c r="E12" s="95">
        <f>'DOE25'!H13</f>
        <v>78635.259999999995</v>
      </c>
      <c r="F12" s="95">
        <f>'DOE25'!I13</f>
        <v>0</v>
      </c>
      <c r="G12" s="95">
        <f>'DOE25'!J13</f>
        <v>1545308.5599999998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6302.84</v>
      </c>
      <c r="D13" s="95">
        <f>'DOE25'!G14</f>
        <v>5367.37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2513117.63</v>
      </c>
      <c r="D18" s="41">
        <f>SUM(D8:D17)</f>
        <v>97774.41</v>
      </c>
      <c r="E18" s="41">
        <f>SUM(E8:E17)</f>
        <v>112279.23999999999</v>
      </c>
      <c r="F18" s="41">
        <f>SUM(F8:F17)</f>
        <v>0</v>
      </c>
      <c r="G18" s="41">
        <f>SUM(G8:G17)</f>
        <v>1545308.5599999998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82665.5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119086.39999999999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165161.38999999998</v>
      </c>
      <c r="D23" s="95">
        <f>'DOE25'!G24</f>
        <v>392.7</v>
      </c>
      <c r="E23" s="95">
        <f>'DOE25'!H24</f>
        <v>382.46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442271.15</v>
      </c>
      <c r="D27" s="95">
        <f>'DOE25'!G28</f>
        <v>0</v>
      </c>
      <c r="E27" s="95">
        <f>'DOE25'!H28</f>
        <v>49145.88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840977.62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3419.54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1567496.56</v>
      </c>
      <c r="D31" s="41">
        <f>SUM(D21:D30)</f>
        <v>86477.739999999991</v>
      </c>
      <c r="E31" s="41">
        <f>SUM(E21:E30)</f>
        <v>49528.34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11296.67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166310.70000000001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62750.899999999994</v>
      </c>
      <c r="F47" s="95">
        <f>'DOE25'!I48</f>
        <v>0</v>
      </c>
      <c r="G47" s="95">
        <f>'DOE25'!J48</f>
        <v>1545308.5599999998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101050.42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628259.94999999995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945621.07</v>
      </c>
      <c r="D50" s="41">
        <f>SUM(D34:D49)</f>
        <v>11296.67</v>
      </c>
      <c r="E50" s="41">
        <f>SUM(E34:E49)</f>
        <v>62750.899999999994</v>
      </c>
      <c r="F50" s="41">
        <f>SUM(F34:F49)</f>
        <v>0</v>
      </c>
      <c r="G50" s="41">
        <f>SUM(G34:G49)</f>
        <v>1545308.5599999998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2513117.63</v>
      </c>
      <c r="D51" s="41">
        <f>D50+D31</f>
        <v>97774.409999999989</v>
      </c>
      <c r="E51" s="41">
        <f>E50+E31</f>
        <v>112279.23999999999</v>
      </c>
      <c r="F51" s="41">
        <f>F50+F31</f>
        <v>0</v>
      </c>
      <c r="G51" s="41">
        <f>G50+G31</f>
        <v>1545308.5599999998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5611965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1411371.63</v>
      </c>
      <c r="D57" s="24" t="s">
        <v>289</v>
      </c>
      <c r="E57" s="95">
        <f>'DOE25'!H79</f>
        <v>11175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19023.86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149679.35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55265.75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1485661.24</v>
      </c>
      <c r="D62" s="130">
        <f>SUM(D57:D61)</f>
        <v>149679.35</v>
      </c>
      <c r="E62" s="130">
        <f>SUM(E57:E61)</f>
        <v>11175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7097626.2400000002</v>
      </c>
      <c r="D63" s="22">
        <f>D56+D62</f>
        <v>149679.35</v>
      </c>
      <c r="E63" s="22">
        <f>E56+E62</f>
        <v>11175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6375406.3300000001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1040463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7415869.3300000001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138488.60999999999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16483.2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7424.47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154971.81</v>
      </c>
      <c r="D78" s="130">
        <f>SUM(D72:D77)</f>
        <v>7424.47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4654.47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7570841.1399999997</v>
      </c>
      <c r="D81" s="130">
        <f>SUM(D79:D80)+D78+D70</f>
        <v>7424.47</v>
      </c>
      <c r="E81" s="130">
        <f>SUM(E79:E80)+E78+E70</f>
        <v>4654.47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12552.19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254767.07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151935.43</v>
      </c>
      <c r="D88" s="95">
        <f>SUM('DOE25'!G153:G161)</f>
        <v>261000.56</v>
      </c>
      <c r="E88" s="95">
        <f>SUM('DOE25'!H153:H161)</f>
        <v>1171713.5200000003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164487.62</v>
      </c>
      <c r="D91" s="131">
        <f>SUM(D85:D90)</f>
        <v>261000.56</v>
      </c>
      <c r="E91" s="131">
        <f>SUM(E85:E90)</f>
        <v>1426480.5900000003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51575.06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51575.06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14832954.999999998</v>
      </c>
      <c r="D104" s="86">
        <f>D63+D81+D91+D103</f>
        <v>469679.44</v>
      </c>
      <c r="E104" s="86">
        <f>E63+E81+E91+E103</f>
        <v>1442310.0600000003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5362449.3899999997</v>
      </c>
      <c r="D109" s="24" t="s">
        <v>289</v>
      </c>
      <c r="E109" s="95">
        <f>('DOE25'!L276)+('DOE25'!L295)+('DOE25'!L314)</f>
        <v>557453.82999999996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2941970.18</v>
      </c>
      <c r="D110" s="24" t="s">
        <v>289</v>
      </c>
      <c r="E110" s="95">
        <f>('DOE25'!L277)+('DOE25'!L296)+('DOE25'!L315)</f>
        <v>26172.799999999999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116775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118058.09</v>
      </c>
      <c r="D112" s="24" t="s">
        <v>289</v>
      </c>
      <c r="E112" s="95">
        <f>+('DOE25'!L279)+('DOE25'!L298)+('DOE25'!L317)</f>
        <v>25688.02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8539252.6600000001</v>
      </c>
      <c r="D115" s="86">
        <f>SUM(D109:D114)</f>
        <v>0</v>
      </c>
      <c r="E115" s="86">
        <f>SUM(E109:E114)</f>
        <v>609314.65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1318635.83</v>
      </c>
      <c r="D118" s="24" t="s">
        <v>289</v>
      </c>
      <c r="E118" s="95">
        <f>+('DOE25'!L281)+('DOE25'!L300)+('DOE25'!L319)</f>
        <v>63504.61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314295.88</v>
      </c>
      <c r="D119" s="24" t="s">
        <v>289</v>
      </c>
      <c r="E119" s="95">
        <f>+('DOE25'!L282)+('DOE25'!L301)+('DOE25'!L320)</f>
        <v>434420.31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882498.89000000013</v>
      </c>
      <c r="D120" s="24" t="s">
        <v>289</v>
      </c>
      <c r="E120" s="95">
        <f>+('DOE25'!L283)+('DOE25'!L302)+('DOE25'!L321)</f>
        <v>270297.3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1012853.9199999999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219.75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1482684.6199999999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535023.27</v>
      </c>
      <c r="D124" s="24" t="s">
        <v>289</v>
      </c>
      <c r="E124" s="95">
        <f>+('DOE25'!L287)+('DOE25'!L306)+('DOE25'!L325)</f>
        <v>19981.439999999999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326862.40000000002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469679.44000000006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5873074.5600000005</v>
      </c>
      <c r="D128" s="86">
        <f>SUM(D118:D127)</f>
        <v>469679.44000000006</v>
      </c>
      <c r="E128" s="86">
        <f>SUM(E118:E127)</f>
        <v>788203.65999999992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147590.72</v>
      </c>
    </row>
    <row r="135" spans="1:7" x14ac:dyDescent="0.2">
      <c r="A135" t="s">
        <v>233</v>
      </c>
      <c r="B135" s="32" t="s">
        <v>234</v>
      </c>
      <c r="C135" s="95">
        <f>'DOE25'!L263</f>
        <v>51575.06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101575.06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147590.72</v>
      </c>
    </row>
    <row r="145" spans="1:9" ht="12.75" thickTop="1" thickBot="1" x14ac:dyDescent="0.25">
      <c r="A145" s="33" t="s">
        <v>244</v>
      </c>
      <c r="C145" s="86">
        <f>(C115+C128+C144)</f>
        <v>14513902.280000001</v>
      </c>
      <c r="D145" s="86">
        <f>(D115+D128+D144)</f>
        <v>469679.44000000006</v>
      </c>
      <c r="E145" s="86">
        <f>(E115+E128+E144)</f>
        <v>1397518.31</v>
      </c>
      <c r="F145" s="86">
        <f>(F115+F128+F144)</f>
        <v>0</v>
      </c>
      <c r="G145" s="86">
        <f>(G115+G128+G144)</f>
        <v>147590.72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194488.72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118188.97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118188.97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79829.86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79829.86</v>
      </c>
    </row>
    <row r="160" spans="1:9" x14ac:dyDescent="0.2">
      <c r="A160" s="22" t="s">
        <v>36</v>
      </c>
      <c r="B160" s="137">
        <f>'DOE25'!F499</f>
        <v>3223.28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3223.28</v>
      </c>
    </row>
    <row r="161" spans="1:7" x14ac:dyDescent="0.2">
      <c r="A161" s="22" t="s">
        <v>37</v>
      </c>
      <c r="B161" s="137">
        <f>'DOE25'!F500</f>
        <v>83053.14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83053.14</v>
      </c>
    </row>
    <row r="162" spans="1:7" x14ac:dyDescent="0.2">
      <c r="A162" s="22" t="s">
        <v>38</v>
      </c>
      <c r="B162" s="137">
        <f>'DOE25'!F501</f>
        <v>39387.129999999997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39387.129999999997</v>
      </c>
    </row>
    <row r="163" spans="1:7" x14ac:dyDescent="0.2">
      <c r="A163" s="22" t="s">
        <v>39</v>
      </c>
      <c r="B163" s="137">
        <f>'DOE25'!F502</f>
        <v>2139.44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2139.44</v>
      </c>
    </row>
    <row r="164" spans="1:7" x14ac:dyDescent="0.2">
      <c r="A164" s="22" t="s">
        <v>246</v>
      </c>
      <c r="B164" s="137">
        <f>'DOE25'!F503</f>
        <v>41526.57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41526.57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Farmington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13460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15076</v>
      </c>
    </row>
    <row r="7" spans="1:4" x14ac:dyDescent="0.2">
      <c r="B7" t="s">
        <v>705</v>
      </c>
      <c r="C7" s="179">
        <f>IF('DOE25'!I665+'DOE25'!I670=0,0,ROUND('DOE25'!I672,0))</f>
        <v>13902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5919903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2968143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116775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143746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1382140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748716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1479659</v>
      </c>
      <c r="D17" s="182">
        <f t="shared" si="0"/>
        <v>9.1999999999999993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1012854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220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1482685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555005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319999.65000000002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16129845.65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16129845.65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5611965</v>
      </c>
      <c r="D35" s="182">
        <f t="shared" ref="D35:D40" si="1">ROUND((C35/$C$41)*100,1)</f>
        <v>33.9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1496836.2400000002</v>
      </c>
      <c r="D36" s="182">
        <f t="shared" si="1"/>
        <v>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7415869</v>
      </c>
      <c r="D37" s="182">
        <f t="shared" si="1"/>
        <v>44.8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167051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1851969</v>
      </c>
      <c r="D39" s="182">
        <f t="shared" si="1"/>
        <v>11.2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16543690.24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Farmington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2016-11-02T16:45:21Z</cp:lastPrinted>
  <dcterms:created xsi:type="dcterms:W3CDTF">1997-12-04T19:04:30Z</dcterms:created>
  <dcterms:modified xsi:type="dcterms:W3CDTF">2016-11-29T14:42:25Z</dcterms:modified>
</cp:coreProperties>
</file>