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C20" i="12"/>
  <c r="B20" i="12" l="1"/>
  <c r="B19" i="12"/>
  <c r="C37" i="12" l="1"/>
  <c r="C10" i="12"/>
  <c r="C11" i="12"/>
  <c r="B10" i="12"/>
  <c r="F580" i="1" l="1"/>
  <c r="H584" i="1"/>
  <c r="H579" i="1"/>
  <c r="H575" i="1"/>
  <c r="H277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C17" i="10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E111" i="2"/>
  <c r="E112" i="2"/>
  <c r="C113" i="2"/>
  <c r="E113" i="2"/>
  <c r="C114" i="2"/>
  <c r="E114" i="2"/>
  <c r="D115" i="2"/>
  <c r="F115" i="2"/>
  <c r="G115" i="2"/>
  <c r="C119" i="2"/>
  <c r="E119" i="2"/>
  <c r="E120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H641" i="1" s="1"/>
  <c r="F470" i="1"/>
  <c r="G470" i="1"/>
  <c r="H470" i="1"/>
  <c r="I470" i="1"/>
  <c r="J470" i="1"/>
  <c r="J476" i="1" s="1"/>
  <c r="H626" i="1" s="1"/>
  <c r="F474" i="1"/>
  <c r="F476" i="1" s="1"/>
  <c r="H622" i="1" s="1"/>
  <c r="J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G643" i="1"/>
  <c r="H643" i="1"/>
  <c r="G644" i="1"/>
  <c r="G645" i="1"/>
  <c r="G649" i="1"/>
  <c r="G650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D62" i="2"/>
  <c r="D63" i="2" s="1"/>
  <c r="D18" i="13"/>
  <c r="C18" i="13" s="1"/>
  <c r="D7" i="13"/>
  <c r="C7" i="13" s="1"/>
  <c r="D17" i="13"/>
  <c r="C17" i="13" s="1"/>
  <c r="C91" i="2"/>
  <c r="F78" i="2"/>
  <c r="F81" i="2" s="1"/>
  <c r="C78" i="2"/>
  <c r="D50" i="2"/>
  <c r="G157" i="2"/>
  <c r="F18" i="2"/>
  <c r="G161" i="2"/>
  <c r="E103" i="2"/>
  <c r="E62" i="2"/>
  <c r="E63" i="2" s="1"/>
  <c r="G62" i="2"/>
  <c r="D19" i="13"/>
  <c r="C19" i="13" s="1"/>
  <c r="E13" i="13"/>
  <c r="C13" i="13" s="1"/>
  <c r="J617" i="1"/>
  <c r="E78" i="2"/>
  <c r="E81" i="2" s="1"/>
  <c r="J639" i="1"/>
  <c r="K605" i="1"/>
  <c r="G648" i="1" s="1"/>
  <c r="J571" i="1"/>
  <c r="K571" i="1"/>
  <c r="L433" i="1"/>
  <c r="L419" i="1"/>
  <c r="D81" i="2"/>
  <c r="I169" i="1"/>
  <c r="H169" i="1"/>
  <c r="J643" i="1"/>
  <c r="H476" i="1"/>
  <c r="H624" i="1" s="1"/>
  <c r="J624" i="1" s="1"/>
  <c r="I476" i="1"/>
  <c r="H625" i="1" s="1"/>
  <c r="J625" i="1" s="1"/>
  <c r="J140" i="1"/>
  <c r="F571" i="1"/>
  <c r="I552" i="1"/>
  <c r="K550" i="1"/>
  <c r="G22" i="2"/>
  <c r="K545" i="1"/>
  <c r="H552" i="1"/>
  <c r="C29" i="10"/>
  <c r="H140" i="1"/>
  <c r="L393" i="1"/>
  <c r="A13" i="12"/>
  <c r="F22" i="13"/>
  <c r="H25" i="13"/>
  <c r="C25" i="13" s="1"/>
  <c r="J640" i="1"/>
  <c r="H571" i="1"/>
  <c r="L560" i="1"/>
  <c r="J545" i="1"/>
  <c r="G192" i="1"/>
  <c r="H192" i="1"/>
  <c r="L309" i="1"/>
  <c r="E16" i="13"/>
  <c r="L570" i="1"/>
  <c r="I571" i="1"/>
  <c r="J636" i="1"/>
  <c r="G36" i="2"/>
  <c r="L565" i="1"/>
  <c r="G545" i="1"/>
  <c r="C22" i="13"/>
  <c r="C138" i="2"/>
  <c r="C16" i="13"/>
  <c r="H33" i="13"/>
  <c r="H408" i="1" l="1"/>
  <c r="H644" i="1" s="1"/>
  <c r="J644" i="1" s="1"/>
  <c r="J641" i="1"/>
  <c r="L401" i="1"/>
  <c r="C139" i="2" s="1"/>
  <c r="J645" i="1"/>
  <c r="A40" i="12"/>
  <c r="K598" i="1"/>
  <c r="G647" i="1" s="1"/>
  <c r="J651" i="1"/>
  <c r="J649" i="1"/>
  <c r="L524" i="1"/>
  <c r="K551" i="1"/>
  <c r="L544" i="1"/>
  <c r="H545" i="1"/>
  <c r="I545" i="1"/>
  <c r="K549" i="1"/>
  <c r="K552" i="1" s="1"/>
  <c r="F552" i="1"/>
  <c r="C13" i="10"/>
  <c r="J634" i="1"/>
  <c r="D29" i="13"/>
  <c r="C29" i="13" s="1"/>
  <c r="L362" i="1"/>
  <c r="I661" i="1"/>
  <c r="D145" i="2"/>
  <c r="E110" i="2"/>
  <c r="H338" i="1"/>
  <c r="H352" i="1" s="1"/>
  <c r="C11" i="10"/>
  <c r="E128" i="2"/>
  <c r="C16" i="10"/>
  <c r="C15" i="10"/>
  <c r="J338" i="1"/>
  <c r="J352" i="1" s="1"/>
  <c r="L290" i="1"/>
  <c r="L338" i="1" s="1"/>
  <c r="L352" i="1" s="1"/>
  <c r="G633" i="1" s="1"/>
  <c r="J633" i="1" s="1"/>
  <c r="E109" i="2"/>
  <c r="E115" i="2" s="1"/>
  <c r="E145" i="2" s="1"/>
  <c r="H662" i="1"/>
  <c r="C21" i="10"/>
  <c r="L247" i="1"/>
  <c r="H660" i="1"/>
  <c r="C10" i="10"/>
  <c r="H257" i="1"/>
  <c r="H271" i="1" s="1"/>
  <c r="H647" i="1"/>
  <c r="D15" i="13"/>
  <c r="C15" i="13" s="1"/>
  <c r="C124" i="2"/>
  <c r="F662" i="1"/>
  <c r="I662" i="1" s="1"/>
  <c r="D14" i="13"/>
  <c r="C14" i="13" s="1"/>
  <c r="C18" i="10"/>
  <c r="D12" i="13"/>
  <c r="C12" i="13" s="1"/>
  <c r="E8" i="13"/>
  <c r="C8" i="13" s="1"/>
  <c r="D6" i="13"/>
  <c r="C6" i="13" s="1"/>
  <c r="C118" i="2"/>
  <c r="D5" i="13"/>
  <c r="C5" i="13" s="1"/>
  <c r="C109" i="2"/>
  <c r="C115" i="2" s="1"/>
  <c r="L211" i="1"/>
  <c r="C81" i="2"/>
  <c r="C62" i="2"/>
  <c r="C63" i="2" s="1"/>
  <c r="F112" i="1"/>
  <c r="C56" i="2"/>
  <c r="H52" i="1"/>
  <c r="H619" i="1" s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L408" i="1" l="1"/>
  <c r="G637" i="1" s="1"/>
  <c r="J637" i="1" s="1"/>
  <c r="J647" i="1"/>
  <c r="L545" i="1"/>
  <c r="G667" i="1"/>
  <c r="F660" i="1"/>
  <c r="F664" i="1" s="1"/>
  <c r="F667" i="1" s="1"/>
  <c r="D31" i="13"/>
  <c r="C31" i="13" s="1"/>
  <c r="H664" i="1"/>
  <c r="H667" i="1" s="1"/>
  <c r="C28" i="10"/>
  <c r="D23" i="10" s="1"/>
  <c r="C128" i="2"/>
  <c r="C145" i="2" s="1"/>
  <c r="E33" i="13"/>
  <c r="D35" i="13" s="1"/>
  <c r="L257" i="1"/>
  <c r="L271" i="1" s="1"/>
  <c r="G632" i="1" s="1"/>
  <c r="J632" i="1" s="1"/>
  <c r="G104" i="2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I660" i="1"/>
  <c r="I664" i="1" s="1"/>
  <c r="I672" i="1" s="1"/>
  <c r="C7" i="10" s="1"/>
  <c r="D33" i="13"/>
  <c r="D36" i="13" s="1"/>
  <c r="H672" i="1"/>
  <c r="C6" i="10" s="1"/>
  <c r="D13" i="10"/>
  <c r="D17" i="10"/>
  <c r="D19" i="10"/>
  <c r="D18" i="10"/>
  <c r="D25" i="10"/>
  <c r="D27" i="10"/>
  <c r="D15" i="10"/>
  <c r="D21" i="10"/>
  <c r="D24" i="10"/>
  <c r="D20" i="10"/>
  <c r="D11" i="10"/>
  <c r="D12" i="10"/>
  <c r="D22" i="10"/>
  <c r="D10" i="10"/>
  <c r="D26" i="10"/>
  <c r="C30" i="10"/>
  <c r="D16" i="10"/>
  <c r="F672" i="1"/>
  <c r="C4" i="10" s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<sst xmlns="http://schemas.openxmlformats.org/spreadsheetml/2006/main" count="3961" uniqueCount="915">
  <si>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</si>
  <si>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</si>
  <si>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</si>
  <si>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</si>
  <si>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</si>
  <si>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</si>
  <si>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</si>
  <si>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</si>
  <si>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</si>
  <si>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</si>
  <si>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</si>
  <si>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</si>
  <si>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</si>
  <si>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</si>
  <si>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</si>
  <si>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</si>
  <si>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</si>
  <si>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</si>
  <si>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</si>
  <si>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</si>
  <si>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</si>
  <si>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</si>
  <si>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</si>
  <si>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</si>
  <si>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</si>
  <si>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</si>
  <si>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</si>
  <si>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</si>
  <si>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</si>
  <si>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</si>
  <si>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</si>
  <si>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</si>
  <si>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</si>
  <si>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</si>
  <si>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</si>
  <si>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</si>
  <si>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</si>
  <si>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</si>
  <si>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</si>
  <si>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</si>
  <si>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</si>
  <si>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</si>
  <si>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</si>
  <si>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</si>
  <si>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</si>
  <si>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</si>
  <si>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</si>
  <si>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</si>
  <si>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</si>
  <si>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</si>
  <si>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</si>
  <si>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</si>
  <si>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</si>
  <si>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</si>
  <si>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</si>
  <si>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</si>
  <si>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</si>
  <si>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</si>
  <si>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</si>
  <si>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</si>
  <si>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</si>
  <si>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</si>
  <si>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</si>
  <si>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</si>
  <si>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</si>
  <si>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</si>
  <si>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</si>
  <si>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</si>
  <si>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</si>
  <si>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</si>
  <si>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</si>
  <si>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</si>
  <si>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</si>
  <si>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</si>
  <si>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</si>
  <si>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</si>
  <si>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</si>
  <si>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</si>
  <si>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</si>
  <si>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</si>
  <si>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</si>
  <si>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</si>
  <si>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</si>
  <si>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</si>
  <si>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</si>
  <si>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</si>
  <si>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</si>
  <si>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</si>
  <si>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</si>
  <si>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</si>
  <si>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</si>
  <si>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</si>
  <si>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</si>
  <si>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</si>
  <si>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</si>
  <si>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</si>
  <si>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</si>
  <si>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</si>
  <si>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</si>
  <si>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</si>
  <si>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</si>
  <si>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</si>
  <si>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</si>
  <si>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</si>
  <si>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</si>
  <si>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</si>
  <si>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</si>
  <si>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</si>
  <si>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</si>
  <si>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</si>
  <si>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</si>
  <si>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</si>
  <si>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</si>
  <si>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</si>
  <si>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</si>
  <si>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</si>
  <si>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</si>
  <si>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</si>
  <si>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</si>
  <si>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</si>
  <si>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</si>
  <si>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</si>
  <si>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</si>
  <si>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</si>
  <si>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</si>
  <si>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</si>
  <si>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</si>
  <si>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</si>
  <si>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</si>
  <si>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</si>
  <si>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</si>
  <si>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</si>
  <si>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</si>
  <si>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</si>
  <si>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</si>
  <si>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</si>
  <si>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</si>
  <si>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</si>
  <si>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</si>
  <si>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</si>
  <si>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</si>
  <si>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</si>
  <si>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</si>
  <si>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</si>
  <si>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</si>
  <si>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</si>
  <si>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</si>
  <si>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</si>
  <si>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</si>
  <si>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</si>
  <si>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</si>
  <si>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</si>
  <si>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</si>
  <si>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</si>
  <si>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</si>
  <si>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</si>
  <si>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</si>
  <si>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</si>
  <si>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</si>
  <si>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</si>
  <si>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</si>
  <si>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</si>
  <si>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</si>
  <si>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</si>
  <si>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</si>
  <si>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</si>
  <si>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</si>
  <si>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</si>
  <si>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</si>
  <si>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</si>
  <si>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</si>
  <si>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</si>
  <si>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</si>
  <si>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</si>
  <si>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</si>
  <si>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</si>
  <si>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</si>
  <si>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</si>
  <si>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</si>
  <si>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</si>
  <si>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</si>
  <si>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</si>
  <si>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</si>
  <si>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</si>
  <si>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</si>
  <si>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</si>
  <si>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</si>
  <si>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</si>
  <si>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</si>
  <si>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</si>
  <si>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</si>
  <si>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</si>
  <si>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</si>
  <si>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</si>
  <si>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</si>
  <si>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</si>
  <si>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</si>
  <si>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</si>
  <si>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</si>
  <si>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</si>
  <si>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</si>
  <si>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</si>
  <si>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</si>
  <si>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</si>
  <si>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</si>
  <si>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</si>
  <si>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</si>
  <si>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</si>
  <si>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</si>
  <si>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</si>
  <si>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</si>
  <si>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</si>
  <si>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</si>
  <si>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</si>
  <si>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</si>
  <si>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</si>
  <si>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</si>
  <si>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</si>
  <si>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</si>
  <si>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</si>
  <si>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</si>
  <si>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</si>
  <si>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</si>
  <si>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</si>
  <si>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</si>
  <si>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</si>
  <si>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</si>
  <si>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</si>
  <si>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</si>
  <si>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</si>
  <si>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</si>
  <si>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</si>
  <si>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</si>
  <si>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</si>
  <si>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</si>
  <si>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</si>
  <si>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</si>
  <si>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</si>
  <si>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</si>
  <si>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</si>
  <si>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</si>
  <si>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</si>
  <si>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</si>
  <si>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</si>
  <si>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</si>
  <si>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</si>
  <si>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</si>
  <si>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</si>
  <si>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</si>
  <si>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</si>
  <si>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</si>
  <si>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</si>
  <si>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</si>
  <si>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</si>
  <si>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</si>
  <si>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</si>
  <si>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</si>
  <si>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</si>
  <si>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</si>
  <si>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</si>
  <si>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</si>
  <si>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</si>
  <si>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</si>
  <si>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</si>
  <si>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</si>
  <si>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</si>
  <si>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</si>
  <si>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</si>
  <si>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</si>
  <si>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</si>
  <si>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</si>
  <si>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</si>
  <si>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</si>
  <si>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</si>
  <si>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</si>
  <si>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</si>
  <si>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</si>
  <si>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</si>
  <si>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</si>
  <si>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</si>
  <si>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</si>
  <si>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</si>
  <si>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</si>
  <si>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</si>
  <si>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</si>
  <si>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</si>
  <si>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</si>
  <si>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</si>
  <si>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</si>
  <si>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</si>
  <si>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</si>
  <si>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</si>
  <si>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</si>
  <si>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</si>
  <si>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</si>
  <si>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</si>
  <si>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</si>
  <si>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</si>
  <si>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</si>
  <si>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</si>
  <si>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</si>
  <si>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</si>
  <si>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</si>
  <si>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</si>
  <si>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</si>
  <si>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</si>
  <si>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</si>
  <si>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</si>
  <si>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</si>
  <si>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</si>
  <si>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</si>
  <si>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</si>
  <si>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</si>
  <si>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</si>
  <si>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</si>
  <si>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</si>
  <si>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</si>
  <si>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</si>
  <si>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</si>
  <si>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</si>
  <si>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</si>
  <si>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</si>
  <si>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</si>
  <si>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</si>
  <si>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</si>
  <si>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</si>
  <si>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</si>
  <si>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</si>
  <si>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</si>
  <si>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</si>
  <si>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</si>
  <si>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</si>
  <si>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</si>
  <si>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</si>
  <si>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</si>
  <si>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</si>
  <si>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</si>
  <si>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</si>
  <si>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</si>
  <si>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</si>
  <si>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</si>
  <si>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</si>
  <si>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</si>
  <si>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</si>
  <si>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</si>
  <si>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</si>
  <si>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</si>
  <si>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</si>
  <si>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</si>
  <si>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</si>
  <si>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</si>
  <si>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</si>
  <si>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</si>
  <si>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</si>
  <si>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</si>
  <si>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</si>
  <si>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</si>
  <si>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</si>
  <si>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</si>
  <si>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</si>
  <si>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</si>
  <si>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</si>
  <si>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</si>
  <si>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</si>
  <si>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</si>
  <si>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</si>
  <si>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</si>
  <si>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</si>
  <si>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</si>
  <si>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</si>
  <si>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</si>
  <si>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</si>
  <si>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</si>
  <si>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</si>
  <si>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</si>
  <si>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</si>
  <si>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</si>
  <si>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</si>
  <si>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</si>
  <si>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</si>
  <si>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</si>
  <si>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</si>
  <si>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</si>
  <si>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</si>
  <si>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</si>
  <si>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</si>
  <si>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</si>
  <si>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</si>
  <si>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</si>
  <si>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</si>
  <si>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</si>
  <si>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</si>
  <si>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</si>
  <si>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</si>
  <si>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</si>
  <si>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</si>
  <si>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</si>
  <si>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</si>
  <si>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</si>
  <si>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</si>
  <si>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</si>
  <si>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</si>
  <si>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</si>
  <si>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</si>
  <si>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</si>
  <si>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</si>
  <si>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</si>
  <si>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</si>
  <si>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</si>
  <si>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</si>
  <si>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</si>
  <si>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</si>
  <si>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</si>
  <si>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</si>
  <si>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</si>
  <si>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</si>
  <si>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</si>
  <si>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</si>
  <si>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</si>
  <si>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</si>
  <si>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</si>
  <si>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</si>
  <si>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</si>
  <si>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</si>
  <si>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</si>
  <si>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</si>
  <si>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</si>
  <si>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</si>
  <si>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</si>
  <si>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</si>
  <si>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</si>
  <si>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</si>
  <si>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</si>
  <si>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</si>
  <si>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</si>
  <si>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</si>
  <si>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</si>
  <si>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</si>
  <si>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</si>
  <si>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</si>
  <si>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</si>
  <si>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</si>
  <si>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</si>
  <si>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</si>
  <si>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</si>
  <si>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</si>
  <si>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</si>
  <si>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</si>
  <si>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</si>
  <si>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</si>
  <si>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</si>
  <si>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</si>
  <si>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</si>
  <si>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</si>
  <si>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</si>
  <si>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</si>
  <si>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</si>
  <si>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</si>
  <si>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</si>
  <si>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</si>
  <si>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</si>
  <si>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</si>
  <si>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</si>
  <si>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</si>
  <si>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</si>
  <si>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</si>
  <si>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</si>
  <si>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</si>
  <si>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</si>
  <si>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</si>
  <si>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</si>
  <si>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</si>
  <si>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</si>
  <si>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</si>
  <si>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</si>
  <si>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</si>
  <si>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</si>
  <si>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</si>
  <si>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</si>
  <si>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</si>
  <si>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</si>
  <si>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</si>
  <si>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</si>
  <si>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</si>
  <si>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</si>
  <si>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</si>
  <si>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</si>
  <si>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</si>
  <si>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</si>
  <si>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</si>
  <si>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</si>
  <si>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</si>
  <si>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</si>
  <si>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</si>
  <si>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</si>
  <si>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</si>
  <si>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</si>
  <si>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</si>
  <si>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</si>
  <si>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</si>
  <si>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</si>
  <si>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</si>
  <si>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</si>
  <si>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</si>
  <si>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</si>
  <si>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</si>
  <si>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</si>
  <si>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</si>
  <si>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</si>
  <si>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</si>
  <si>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</si>
  <si>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</si>
  <si>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</si>
  <si>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</si>
  <si>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</si>
  <si>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</si>
  <si>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</si>
  <si>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</si>
  <si>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</si>
  <si>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</si>
  <si>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</si>
  <si>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</si>
  <si>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</si>
  <si>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</si>
  <si>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</si>
  <si>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</si>
  <si>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</si>
  <si>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</si>
  <si>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</si>
  <si>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</si>
  <si>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</si>
  <si>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</si>
  <si>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</si>
  <si>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</si>
  <si>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</si>
  <si>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</si>
  <si>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</si>
  <si>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</si>
  <si>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</si>
  <si>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</si>
  <si>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</si>
  <si>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</si>
  <si>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</si>
  <si>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</si>
  <si>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</si>
  <si>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</si>
  <si>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</si>
  <si>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</si>
  <si>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</si>
  <si>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</si>
  <si>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</si>
  <si>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</si>
  <si>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</si>
  <si>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</si>
  <si>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</si>
  <si>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</si>
  <si>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</si>
  <si>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</si>
  <si>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</si>
  <si>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</si>
  <si>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</si>
  <si>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</si>
  <si>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</si>
  <si>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</si>
  <si>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</si>
  <si>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</si>
  <si>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</si>
  <si>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</si>
  <si>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</si>
  <si>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</si>
  <si>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</si>
  <si>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</si>
  <si>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</si>
  <si>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</si>
  <si>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</si>
  <si>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</si>
  <si>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</si>
  <si>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</si>
  <si>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</si>
  <si>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</si>
  <si>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</si>
  <si>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</si>
  <si>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</si>
  <si>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</si>
  <si>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</si>
  <si>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</si>
  <si>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</si>
  <si>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</si>
  <si>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</si>
  <si>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</si>
  <si>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</si>
  <si>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</si>
  <si>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</si>
  <si>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</si>
  <si>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</si>
  <si>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</si>
  <si>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</si>
  <si>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</si>
  <si>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</si>
  <si>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</si>
  <si>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</si>
  <si>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</si>
  <si>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</si>
  <si>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</si>
  <si>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</si>
  <si>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</si>
  <si>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</si>
  <si>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</si>
  <si>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</si>
  <si>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</si>
  <si>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</si>
  <si>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</si>
  <si>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</si>
  <si>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</si>
  <si>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</si>
  <si>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</si>
  <si>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</si>
  <si>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</si>
  <si>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</si>
  <si>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</si>
  <si>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</si>
  <si>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</si>
  <si>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</si>
  <si>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</si>
  <si>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</si>
  <si>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</si>
  <si>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</si>
  <si>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</si>
  <si>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</si>
  <si>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</si>
  <si>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</si>
  <si>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</si>
  <si>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</si>
  <si>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</si>
  <si>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</si>
  <si>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</si>
  <si>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</si>
  <si>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</si>
  <si>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</si>
  <si>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</si>
  <si>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</si>
  <si>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</si>
  <si>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</si>
  <si>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</si>
  <si>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</si>
  <si>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</si>
  <si>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</si>
  <si>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</si>
  <si>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</si>
  <si>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</si>
  <si>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</si>
  <si>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</si>
  <si>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</si>
  <si>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</si>
  <si>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</si>
  <si>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</si>
  <si>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</si>
  <si>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</si>
  <si>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</si>
  <si>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</si>
  <si>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</si>
  <si>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</si>
  <si>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</si>
  <si>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</si>
  <si>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</si>
  <si>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</si>
  <si>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</si>
  <si>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</si>
  <si>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</si>
  <si>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</si>
  <si>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</si>
  <si>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</si>
  <si>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</si>
  <si>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</si>
  <si>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</si>
  <si>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</si>
  <si>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</si>
  <si>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</si>
  <si>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</si>
  <si>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</si>
  <si>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</si>
  <si>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</si>
  <si>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</si>
  <si>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</si>
  <si>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</si>
  <si>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</si>
  <si>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</si>
  <si>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</si>
  <si>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</si>
  <si>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</si>
  <si>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</si>
  <si>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</si>
  <si>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</si>
  <si>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</si>
  <si>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</si>
  <si>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</si>
  <si>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</si>
  <si>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</si>
  <si>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</si>
  <si>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</si>
  <si>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</si>
  <si>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</si>
  <si>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</si>
  <si>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</si>
  <si>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</si>
  <si>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</si>
  <si>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</si>
  <si>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</si>
  <si>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</si>
  <si>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</si>
  <si>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</si>
  <si>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</si>
  <si>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</si>
  <si>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</si>
  <si>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</si>
  <si>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</si>
  <si>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</si>
  <si>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</si>
  <si>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</si>
  <si>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</si>
  <si>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</si>
  <si>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</si>
  <si>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</si>
  <si>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</si>
  <si>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</si>
  <si>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</si>
  <si>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</si>
  <si>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</si>
  <si>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</si>
  <si>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</si>
  <si>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</si>
  <si>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</si>
  <si>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</si>
  <si>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</si>
  <si>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</si>
  <si>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</si>
  <si>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</si>
  <si>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</si>
  <si>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</si>
  <si>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</si>
  <si>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</si>
  <si>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</si>
  <si>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</si>
  <si>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</si>
  <si>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</si>
  <si>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</si>
  <si>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</si>
  <si>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</si>
  <si>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</si>
  <si>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</si>
  <si>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</si>
  <si>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</si>
  <si>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</si>
  <si>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</si>
  <si>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</si>
  <si>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</si>
  <si>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</si>
  <si>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</si>
  <si>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</si>
  <si>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</si>
  <si>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</si>
  <si>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</si>
  <si>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</si>
  <si>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</si>
  <si>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</si>
  <si>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</si>
  <si>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</si>
  <si>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</si>
  <si>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</si>
  <si>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</si>
  <si>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</si>
  <si>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</si>
  <si>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</si>
  <si>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</si>
  <si>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</si>
  <si>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</si>
  <si>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</si>
  <si>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</si>
  <si>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</si>
  <si>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</si>
  <si>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</si>
  <si>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</si>
  <si>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</si>
  <si>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</si>
  <si>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</si>
  <si>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</si>
  <si>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</si>
  <si>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</si>
  <si>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</si>
  <si>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</si>
  <si>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</si>
  <si>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</si>
  <si>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</si>
  <si>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</si>
  <si>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</si>
  <si>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</si>
  <si>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</si>
  <si>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</si>
  <si>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</si>
  <si>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</si>
  <si>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</si>
  <si>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</si>
  <si>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</si>
  <si>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</si>
  <si>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</si>
  <si>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</si>
  <si>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</si>
  <si>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</si>
  <si>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</si>
  <si>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</si>
  <si>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</si>
  <si>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</si>
  <si>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</si>
  <si>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</si>
  <si>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</si>
  <si>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</si>
  <si>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</si>
  <si>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</si>
  <si>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</si>
  <si>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</si>
  <si>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</si>
  <si>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</si>
  <si>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</si>
  <si>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</si>
  <si>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</si>
  <si>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</si>
  <si>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</si>
  <si>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</si>
  <si>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</si>
  <si>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</si>
  <si>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</si>
  <si>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</si>
  <si>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</si>
  <si>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</si>
  <si>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</si>
  <si>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</si>
  <si>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</si>
  <si>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</si>
  <si>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</si>
  <si>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</si>
  <si>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</si>
  <si>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</si>
  <si>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</si>
  <si>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</si>
  <si>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</si>
  <si>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</si>
  <si>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</si>
  <si>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</si>
  <si>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</si>
  <si>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</si>
  <si>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</si>
  <si>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</si>
  <si>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</si>
  <si>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</si>
  <si>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</si>
  <si>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</si>
  <si>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</si>
  <si>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</si>
  <si>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</si>
  <si>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</si>
  <si>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</si>
  <si>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</si>
  <si>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</si>
  <si>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</si>
  <si>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</si>
  <si>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</si>
  <si>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</si>
  <si>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</si>
  <si>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</si>
  <si>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</si>
  <si>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</si>
  <si>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</si>
  <si>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</si>
  <si>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</si>
  <si>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</si>
  <si>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</si>
  <si>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</si>
  <si>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</si>
  <si>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</si>
  <si>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</si>
  <si>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</si>
  <si>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</si>
  <si>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</si>
  <si>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</si>
  <si>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</si>
  <si>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</si>
  <si>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</si>
  <si>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</si>
  <si>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</si>
  <si>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</si>
  <si>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</si>
  <si>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</si>
  <si>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</si>
  <si>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</si>
  <si>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</si>
  <si>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</si>
  <si>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</si>
  <si>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</si>
  <si>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</si>
  <si>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</si>
  <si>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</si>
  <si>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</si>
  <si>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</si>
  <si>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</si>
  <si>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</si>
  <si>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</si>
  <si>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</si>
  <si>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</si>
  <si>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</si>
  <si>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</si>
  <si>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</si>
  <si>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</si>
  <si>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04/13</t>
  </si>
  <si>
    <t>08/17</t>
  </si>
  <si>
    <t>Fremont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</si>
</sst>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189</v>
      </c>
      <c r="C2" s="21">
        <v>189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1119757.05</v>
      </c>
      <c r="G9" s="18">
        <v>56278.65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92931.56</v>
      </c>
      <c r="G10" s="18"/>
      <c r="H10" s="18"/>
      <c r="I10" s="18"/>
      <c r="J10" s="67">
        <f>SUM(I440)</f>
        <v>140073.44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148813.04999999999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80751.899999999994</v>
      </c>
      <c r="G13" s="18">
        <v>7337.23</v>
      </c>
      <c r="H13" s="18">
        <v>89452.86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340.5</v>
      </c>
      <c r="G14" s="18">
        <v>3355.11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2988.04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1442594.06</v>
      </c>
      <c r="G19" s="41">
        <f>SUM(G9:G18)</f>
        <v>69959.03</v>
      </c>
      <c r="H19" s="41">
        <f>SUM(H9:H18)</f>
        <v>89452.86</v>
      </c>
      <c r="I19" s="41">
        <f>SUM(I9:I18)</f>
        <v>0</v>
      </c>
      <c r="J19" s="41">
        <f>SUM(J9:J18)</f>
        <v>140073.44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64174.27</v>
      </c>
      <c r="H22" s="18">
        <v>84638.78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 t="s">
        <v>287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895839.27</v>
      </c>
      <c r="G24" s="18"/>
      <c r="H24" s="18">
        <v>1948.61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7730.11</v>
      </c>
      <c r="G28" s="18"/>
      <c r="H28" s="18">
        <v>2807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330.23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2705</v>
      </c>
      <c r="G30" s="18">
        <v>3679.51</v>
      </c>
      <c r="H30" s="18">
        <v>58.47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213716.49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1120321.1000000001</v>
      </c>
      <c r="G32" s="41">
        <f>SUM(G22:G31)</f>
        <v>67853.78</v>
      </c>
      <c r="H32" s="41">
        <f>SUM(H22:H31)</f>
        <v>89452.86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2988.04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-882.79</v>
      </c>
      <c r="H48" s="18"/>
      <c r="I48" s="18"/>
      <c r="J48" s="13">
        <f>SUM(I459)</f>
        <v>140073.44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212272.96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322272.95999999996</v>
      </c>
      <c r="G51" s="41">
        <f>SUM(G35:G50)</f>
        <v>2105.25</v>
      </c>
      <c r="H51" s="41">
        <f>SUM(H35:H50)</f>
        <v>0</v>
      </c>
      <c r="I51" s="41">
        <f>SUM(I35:I50)</f>
        <v>0</v>
      </c>
      <c r="J51" s="41">
        <f>SUM(J35:J50)</f>
        <v>140073.44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1442594.06</v>
      </c>
      <c r="G52" s="41">
        <f>G51+G32</f>
        <v>69959.03</v>
      </c>
      <c r="H52" s="41">
        <f>H51+H32</f>
        <v>89452.86</v>
      </c>
      <c r="I52" s="41">
        <f>I51+I32</f>
        <v>0</v>
      </c>
      <c r="J52" s="41">
        <f>J51+J32</f>
        <v>140073.44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8293785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8293785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16909.48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16909.48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1317.46</v>
      </c>
      <c r="G96" s="18"/>
      <c r="H96" s="18"/>
      <c r="I96" s="18"/>
      <c r="J96" s="18">
        <v>114.05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93413.98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321.41000000000003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22729.18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87909.35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111955.99</v>
      </c>
      <c r="G111" s="41">
        <f>SUM(G96:G110)</f>
        <v>93413.98</v>
      </c>
      <c r="H111" s="41">
        <f>SUM(H96:H110)</f>
        <v>321.41000000000003</v>
      </c>
      <c r="I111" s="41">
        <f>SUM(I96:I110)</f>
        <v>0</v>
      </c>
      <c r="J111" s="41">
        <f>SUM(J96:J110)</f>
        <v>114.05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8422650.4700000007</v>
      </c>
      <c r="G112" s="41">
        <f>G60+G111</f>
        <v>93413.98</v>
      </c>
      <c r="H112" s="41">
        <f>H60+H79+H94+H111</f>
        <v>321.41000000000003</v>
      </c>
      <c r="I112" s="41">
        <f>I60+I111</f>
        <v>0</v>
      </c>
      <c r="J112" s="41">
        <f>J60+J111</f>
        <v>114.05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1671478.69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867240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11291.88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2550010.5699999998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82380.86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2043.58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8251.02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82380.86</v>
      </c>
      <c r="G136" s="41">
        <f>SUM(G123:G135)</f>
        <v>10294.6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2632391.4299999997</v>
      </c>
      <c r="G140" s="41">
        <f>G121+SUM(G136:G137)</f>
        <v>10294.6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27839.4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64421.56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12809.94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39573.79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144469.38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90964.22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90964.22</v>
      </c>
      <c r="G162" s="41">
        <f>SUM(G150:G161)</f>
        <v>39573.79</v>
      </c>
      <c r="H162" s="41">
        <f>SUM(H150:H161)</f>
        <v>249540.28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90964.22</v>
      </c>
      <c r="G169" s="41">
        <f>G147+G162+SUM(G163:G168)</f>
        <v>39573.79</v>
      </c>
      <c r="H169" s="41">
        <f>H147+H162+SUM(H163:H168)</f>
        <v>249540.28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11146006.120000001</v>
      </c>
      <c r="G193" s="47">
        <f>G112+G140+G169+G192</f>
        <v>143282.37</v>
      </c>
      <c r="H193" s="47">
        <f>H112+H140+H169+H192</f>
        <v>249861.69</v>
      </c>
      <c r="I193" s="47">
        <f>I112+I140+I169+I192</f>
        <v>0</v>
      </c>
      <c r="J193" s="47">
        <f>J112+J140+J192</f>
        <v>110114.05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1701702.99</v>
      </c>
      <c r="G197" s="18">
        <v>884265.48</v>
      </c>
      <c r="H197" s="18">
        <v>1500</v>
      </c>
      <c r="I197" s="18">
        <v>122869.32</v>
      </c>
      <c r="J197" s="18">
        <v>17234.63</v>
      </c>
      <c r="K197" s="18">
        <v>155</v>
      </c>
      <c r="L197" s="19">
        <f>SUM(F197:K197)</f>
        <v>2727727.4199999995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536881.93999999994</v>
      </c>
      <c r="G198" s="18">
        <v>181513.06</v>
      </c>
      <c r="H198" s="18">
        <v>250690.31</v>
      </c>
      <c r="I198" s="18">
        <v>2463.1999999999998</v>
      </c>
      <c r="J198" s="18">
        <v>681.46</v>
      </c>
      <c r="K198" s="18">
        <v>0</v>
      </c>
      <c r="L198" s="19">
        <f>SUM(F198:K198)</f>
        <v>972229.97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35775</v>
      </c>
      <c r="G200" s="18">
        <v>8048.19</v>
      </c>
      <c r="H200" s="18">
        <v>4015</v>
      </c>
      <c r="I200" s="18">
        <v>5418.51</v>
      </c>
      <c r="J200" s="18">
        <v>883.24</v>
      </c>
      <c r="K200" s="18">
        <v>332</v>
      </c>
      <c r="L200" s="19">
        <f>SUM(F200:K200)</f>
        <v>54471.94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427443.3</v>
      </c>
      <c r="G202" s="18">
        <v>197602.54</v>
      </c>
      <c r="H202" s="18">
        <v>7470.77</v>
      </c>
      <c r="I202" s="18">
        <v>6555.01</v>
      </c>
      <c r="J202" s="18">
        <v>436.65</v>
      </c>
      <c r="K202" s="18">
        <v>235</v>
      </c>
      <c r="L202" s="19">
        <f t="shared" ref="L202:L208" si="0">SUM(F202:K202)</f>
        <v>639743.27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75265.350000000006</v>
      </c>
      <c r="G203" s="18">
        <v>54118.28</v>
      </c>
      <c r="H203" s="18">
        <v>27229.35</v>
      </c>
      <c r="I203" s="18">
        <v>21824.63</v>
      </c>
      <c r="J203" s="18">
        <v>19965.38</v>
      </c>
      <c r="K203" s="18">
        <v>290</v>
      </c>
      <c r="L203" s="19">
        <f t="shared" si="0"/>
        <v>198692.99000000002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405801.95</v>
      </c>
      <c r="G204" s="18">
        <v>144213.69</v>
      </c>
      <c r="H204" s="18">
        <v>96833.88</v>
      </c>
      <c r="I204" s="18">
        <v>8638.32</v>
      </c>
      <c r="J204" s="18"/>
      <c r="K204" s="18">
        <v>19402.57</v>
      </c>
      <c r="L204" s="19">
        <f t="shared" si="0"/>
        <v>674890.40999999992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204185</v>
      </c>
      <c r="G205" s="18">
        <v>72482.59</v>
      </c>
      <c r="H205" s="18">
        <v>50593.89</v>
      </c>
      <c r="I205" s="18">
        <v>21310.32</v>
      </c>
      <c r="J205" s="18">
        <v>1471.27</v>
      </c>
      <c r="K205" s="18">
        <v>10439.24</v>
      </c>
      <c r="L205" s="19">
        <f t="shared" si="0"/>
        <v>360482.31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148985.21</v>
      </c>
      <c r="G207" s="18">
        <v>65373.25</v>
      </c>
      <c r="H207" s="18">
        <v>95038.56</v>
      </c>
      <c r="I207" s="18">
        <v>125765.05</v>
      </c>
      <c r="J207" s="18">
        <v>38364.269999999997</v>
      </c>
      <c r="K207" s="18"/>
      <c r="L207" s="19">
        <f t="shared" si="0"/>
        <v>473526.34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458457.76</v>
      </c>
      <c r="I208" s="18"/>
      <c r="J208" s="18"/>
      <c r="K208" s="18"/>
      <c r="L208" s="19">
        <f t="shared" si="0"/>
        <v>458457.76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3536040.7399999998</v>
      </c>
      <c r="G211" s="41">
        <f t="shared" si="1"/>
        <v>1607617.08</v>
      </c>
      <c r="H211" s="41">
        <f t="shared" si="1"/>
        <v>991829.52</v>
      </c>
      <c r="I211" s="41">
        <f t="shared" si="1"/>
        <v>314844.36000000004</v>
      </c>
      <c r="J211" s="41">
        <f t="shared" si="1"/>
        <v>79036.899999999994</v>
      </c>
      <c r="K211" s="41">
        <f t="shared" si="1"/>
        <v>30853.809999999998</v>
      </c>
      <c r="L211" s="41">
        <f t="shared" si="1"/>
        <v>6560222.4099999992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3722326.11</v>
      </c>
      <c r="I233" s="18"/>
      <c r="J233" s="18"/>
      <c r="K233" s="18"/>
      <c r="L233" s="19">
        <f>SUM(F233:K233)</f>
        <v>3722326.11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736129.73</v>
      </c>
      <c r="I234" s="18"/>
      <c r="J234" s="18"/>
      <c r="K234" s="18"/>
      <c r="L234" s="19">
        <f>SUM(F234:K234)</f>
        <v>736129.73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5613</v>
      </c>
      <c r="I235" s="18"/>
      <c r="J235" s="18"/>
      <c r="K235" s="18"/>
      <c r="L235" s="19">
        <f>SUM(F235:K235)</f>
        <v>5613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173340</v>
      </c>
      <c r="I244" s="18"/>
      <c r="J244" s="18"/>
      <c r="K244" s="18"/>
      <c r="L244" s="19">
        <f t="shared" si="4"/>
        <v>173340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4637408.84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4637408.84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3536040.7399999998</v>
      </c>
      <c r="G257" s="41">
        <f t="shared" si="8"/>
        <v>1607617.08</v>
      </c>
      <c r="H257" s="41">
        <f t="shared" si="8"/>
        <v>5629238.3599999994</v>
      </c>
      <c r="I257" s="41">
        <f t="shared" si="8"/>
        <v>314844.36000000004</v>
      </c>
      <c r="J257" s="41">
        <f t="shared" si="8"/>
        <v>79036.899999999994</v>
      </c>
      <c r="K257" s="41">
        <f t="shared" si="8"/>
        <v>30853.809999999998</v>
      </c>
      <c r="L257" s="41">
        <f t="shared" si="8"/>
        <v>11197631.25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110000</v>
      </c>
      <c r="L266" s="19">
        <f t="shared" si="9"/>
        <v>110000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110000</v>
      </c>
      <c r="L270" s="41">
        <f t="shared" si="9"/>
        <v>110000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3536040.7399999998</v>
      </c>
      <c r="G271" s="42">
        <f t="shared" si="11"/>
        <v>1607617.08</v>
      </c>
      <c r="H271" s="42">
        <f t="shared" si="11"/>
        <v>5629238.3599999994</v>
      </c>
      <c r="I271" s="42">
        <f t="shared" si="11"/>
        <v>314844.36000000004</v>
      </c>
      <c r="J271" s="42">
        <f t="shared" si="11"/>
        <v>79036.899999999994</v>
      </c>
      <c r="K271" s="42">
        <f t="shared" si="11"/>
        <v>140853.81</v>
      </c>
      <c r="L271" s="42">
        <f t="shared" si="11"/>
        <v>11307631.25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28767.599999999999</v>
      </c>
      <c r="G276" s="18">
        <v>11185.29</v>
      </c>
      <c r="H276" s="18">
        <v>265.2</v>
      </c>
      <c r="I276" s="18">
        <v>1863.87</v>
      </c>
      <c r="J276" s="18">
        <v>5534.05</v>
      </c>
      <c r="K276" s="18">
        <v>50</v>
      </c>
      <c r="L276" s="19">
        <f>SUM(F276:K276)</f>
        <v>47666.01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42891.64</v>
      </c>
      <c r="G277" s="18">
        <v>8904.2000000000007</v>
      </c>
      <c r="H277" s="18">
        <f>48076.85-7784.4</f>
        <v>40292.449999999997</v>
      </c>
      <c r="I277" s="18">
        <v>388.5</v>
      </c>
      <c r="J277" s="18">
        <v>21438.04</v>
      </c>
      <c r="K277" s="18"/>
      <c r="L277" s="19">
        <f>SUM(F277:K277)</f>
        <v>113914.82999999999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22770.15</v>
      </c>
      <c r="I281" s="18"/>
      <c r="J281" s="18"/>
      <c r="K281" s="18"/>
      <c r="L281" s="19">
        <f t="shared" ref="L281:L287" si="12">SUM(F281:K281)</f>
        <v>22770.15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10500</v>
      </c>
      <c r="G282" s="18">
        <v>803.25</v>
      </c>
      <c r="H282" s="18">
        <v>31693.41</v>
      </c>
      <c r="I282" s="18">
        <v>8087.3</v>
      </c>
      <c r="J282" s="18"/>
      <c r="K282" s="18">
        <v>2477.94</v>
      </c>
      <c r="L282" s="19">
        <f t="shared" si="12"/>
        <v>53561.900000000009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4164.3999999999996</v>
      </c>
      <c r="I283" s="18"/>
      <c r="J283" s="18"/>
      <c r="K283" s="18"/>
      <c r="L283" s="19">
        <f t="shared" si="12"/>
        <v>4164.3999999999996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82159.239999999991</v>
      </c>
      <c r="G290" s="42">
        <f t="shared" si="13"/>
        <v>20892.740000000002</v>
      </c>
      <c r="H290" s="42">
        <f t="shared" si="13"/>
        <v>99185.609999999986</v>
      </c>
      <c r="I290" s="42">
        <f t="shared" si="13"/>
        <v>10339.67</v>
      </c>
      <c r="J290" s="42">
        <f t="shared" si="13"/>
        <v>26972.09</v>
      </c>
      <c r="K290" s="42">
        <f t="shared" si="13"/>
        <v>2527.94</v>
      </c>
      <c r="L290" s="41">
        <f t="shared" si="13"/>
        <v>242077.29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 t="s">
        <v>287</v>
      </c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v>7784.4</v>
      </c>
      <c r="I315" s="18"/>
      <c r="J315" s="18"/>
      <c r="K315" s="18"/>
      <c r="L315" s="19">
        <f>SUM(F315:K315)</f>
        <v>7784.4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7784.4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7784.4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82159.239999999991</v>
      </c>
      <c r="G338" s="41">
        <f t="shared" si="20"/>
        <v>20892.740000000002</v>
      </c>
      <c r="H338" s="41">
        <f t="shared" si="20"/>
        <v>106970.00999999998</v>
      </c>
      <c r="I338" s="41">
        <f t="shared" si="20"/>
        <v>10339.67</v>
      </c>
      <c r="J338" s="41">
        <f t="shared" si="20"/>
        <v>26972.09</v>
      </c>
      <c r="K338" s="41">
        <f t="shared" si="20"/>
        <v>2527.94</v>
      </c>
      <c r="L338" s="41">
        <f t="shared" si="20"/>
        <v>249861.69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82159.239999999991</v>
      </c>
      <c r="G352" s="41">
        <f>G338</f>
        <v>20892.740000000002</v>
      </c>
      <c r="H352" s="41">
        <f>H338</f>
        <v>106970.00999999998</v>
      </c>
      <c r="I352" s="41">
        <f>I338</f>
        <v>10339.67</v>
      </c>
      <c r="J352" s="41">
        <f>J338</f>
        <v>26972.09</v>
      </c>
      <c r="K352" s="47">
        <f>K338+K351</f>
        <v>2527.94</v>
      </c>
      <c r="L352" s="41">
        <f>L338+L351</f>
        <v>249861.69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131876.5</v>
      </c>
      <c r="I358" s="18">
        <v>9302.4</v>
      </c>
      <c r="J358" s="18"/>
      <c r="K358" s="18"/>
      <c r="L358" s="13">
        <f>SUM(F358:K358)</f>
        <v>141178.9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131876.5</v>
      </c>
      <c r="I362" s="47">
        <f t="shared" si="22"/>
        <v>9302.4</v>
      </c>
      <c r="J362" s="47">
        <f t="shared" si="22"/>
        <v>0</v>
      </c>
      <c r="K362" s="47">
        <f t="shared" si="22"/>
        <v>0</v>
      </c>
      <c r="L362" s="47">
        <f t="shared" si="22"/>
        <v>141178.9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8251.02</v>
      </c>
      <c r="G367" s="18"/>
      <c r="H367" s="18"/>
      <c r="I367" s="56">
        <f>SUM(F367:H367)</f>
        <v>8251.02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1051.3800000000001</v>
      </c>
      <c r="G368" s="63"/>
      <c r="H368" s="63"/>
      <c r="I368" s="56">
        <f>SUM(F368:H368)</f>
        <v>1051.3800000000001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9302.4000000000015</v>
      </c>
      <c r="G369" s="47">
        <f>SUM(G367:G368)</f>
        <v>0</v>
      </c>
      <c r="H369" s="47">
        <f>SUM(H367:H368)</f>
        <v>0</v>
      </c>
      <c r="I369" s="47">
        <f>SUM(I367:I368)</f>
        <v>9302.4000000000015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v>37.21</v>
      </c>
      <c r="I396" s="18"/>
      <c r="J396" s="24" t="s">
        <v>289</v>
      </c>
      <c r="K396" s="24" t="s">
        <v>289</v>
      </c>
      <c r="L396" s="56">
        <f t="shared" si="26"/>
        <v>10037.209999999999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100000</v>
      </c>
      <c r="H398" s="18">
        <v>61.77</v>
      </c>
      <c r="I398" s="18"/>
      <c r="J398" s="24" t="s">
        <v>289</v>
      </c>
      <c r="K398" s="24" t="s">
        <v>289</v>
      </c>
      <c r="L398" s="56">
        <f t="shared" si="26"/>
        <v>100061.77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110000</v>
      </c>
      <c r="H401" s="47">
        <f>SUM(H395:H400)</f>
        <v>98.98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110098.98000000001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>
        <v>15.07</v>
      </c>
      <c r="I404" s="18"/>
      <c r="J404" s="24" t="s">
        <v>289</v>
      </c>
      <c r="K404" s="24" t="s">
        <v>289</v>
      </c>
      <c r="L404" s="56">
        <f>SUM(F404:K404)</f>
        <v>15.07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15.07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15.07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110000</v>
      </c>
      <c r="H408" s="47">
        <f>H393+H401+H407</f>
        <v>114.05000000000001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110114.05000000002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 t="s">
        <v>287</v>
      </c>
      <c r="H422" s="18"/>
      <c r="I422" s="18"/>
      <c r="J422" s="18"/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 t="s">
        <v>287</v>
      </c>
      <c r="H424" s="18"/>
      <c r="I424" s="18"/>
      <c r="J424" s="18"/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129657.12</v>
      </c>
      <c r="H440" s="18">
        <v>10416.32</v>
      </c>
      <c r="I440" s="56">
        <f t="shared" si="33"/>
        <v>140073.44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129657.12</v>
      </c>
      <c r="H446" s="13">
        <f>SUM(H439:H445)</f>
        <v>10416.32</v>
      </c>
      <c r="I446" s="13">
        <f>SUM(I439:I445)</f>
        <v>140073.44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129657.12</v>
      </c>
      <c r="H459" s="18">
        <v>10416.32</v>
      </c>
      <c r="I459" s="56">
        <f t="shared" si="34"/>
        <v>140073.44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129657.12</v>
      </c>
      <c r="H460" s="83">
        <f>SUM(H454:H459)</f>
        <v>10416.32</v>
      </c>
      <c r="I460" s="83">
        <f>SUM(I454:I459)</f>
        <v>140073.44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129657.12</v>
      </c>
      <c r="H461" s="42">
        <f>H452+H460</f>
        <v>10416.32</v>
      </c>
      <c r="I461" s="42">
        <f>I452+I460</f>
        <v>140073.44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483898.09</v>
      </c>
      <c r="G465" s="18">
        <v>1390.75</v>
      </c>
      <c r="H465" s="18">
        <v>0</v>
      </c>
      <c r="I465" s="18"/>
      <c r="J465" s="18">
        <v>29959.39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11146006.119999999</v>
      </c>
      <c r="G468" s="18">
        <v>143282.37</v>
      </c>
      <c r="H468" s="18">
        <v>249861.69</v>
      </c>
      <c r="I468" s="18"/>
      <c r="J468" s="18">
        <v>110114.05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11146006.119999999</v>
      </c>
      <c r="G470" s="53">
        <f>SUM(G468:G469)</f>
        <v>143282.37</v>
      </c>
      <c r="H470" s="53">
        <f>SUM(H468:H469)</f>
        <v>249861.69</v>
      </c>
      <c r="I470" s="53">
        <f>SUM(I468:I469)</f>
        <v>0</v>
      </c>
      <c r="J470" s="53">
        <f>SUM(J468:J469)</f>
        <v>110114.05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11307631.25</v>
      </c>
      <c r="G472" s="18">
        <v>141178.9</v>
      </c>
      <c r="H472" s="18">
        <v>249861.69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1388.97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11307631.25</v>
      </c>
      <c r="G474" s="53">
        <f>SUM(G472:G473)</f>
        <v>142567.87</v>
      </c>
      <c r="H474" s="53">
        <f>SUM(H472:H473)</f>
        <v>249861.69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322272.95999999903</v>
      </c>
      <c r="G476" s="53">
        <f>(G465+G470)- G474</f>
        <v>2105.25</v>
      </c>
      <c r="H476" s="53">
        <f>(H465+H470)- H474</f>
        <v>0</v>
      </c>
      <c r="I476" s="53">
        <f>(I465+I470)- I474</f>
        <v>0</v>
      </c>
      <c r="J476" s="53">
        <f>(J465+J470)- J474</f>
        <v>140073.44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67291.399999999994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40717.51</v>
      </c>
      <c r="G495" s="18"/>
      <c r="H495" s="18"/>
      <c r="I495" s="18"/>
      <c r="J495" s="18"/>
      <c r="K495" s="53">
        <f>SUM(F495:J495)</f>
        <v>40717.51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13215.18</v>
      </c>
      <c r="G497" s="18"/>
      <c r="H497" s="18"/>
      <c r="I497" s="18"/>
      <c r="J497" s="18"/>
      <c r="K497" s="53">
        <f t="shared" si="35"/>
        <v>13215.18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27502.33</v>
      </c>
      <c r="G498" s="204"/>
      <c r="H498" s="204"/>
      <c r="I498" s="204"/>
      <c r="J498" s="204"/>
      <c r="K498" s="205">
        <f t="shared" si="35"/>
        <v>27502.33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27502.33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27502.33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13569.35</v>
      </c>
      <c r="G501" s="204"/>
      <c r="H501" s="204"/>
      <c r="I501" s="204"/>
      <c r="J501" s="204"/>
      <c r="K501" s="205">
        <f t="shared" si="35"/>
        <v>13569.35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737.06</v>
      </c>
      <c r="G502" s="18"/>
      <c r="H502" s="18"/>
      <c r="I502" s="18"/>
      <c r="J502" s="18"/>
      <c r="K502" s="53">
        <f t="shared" si="35"/>
        <v>737.06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14306.41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14306.41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579773.57999999996</v>
      </c>
      <c r="G521" s="18">
        <v>190417.26</v>
      </c>
      <c r="H521" s="18">
        <v>290982.76</v>
      </c>
      <c r="I521" s="18">
        <v>2851.7</v>
      </c>
      <c r="J521" s="18">
        <v>22119.5</v>
      </c>
      <c r="K521" s="18"/>
      <c r="L521" s="88">
        <f>SUM(F521:K521)</f>
        <v>1086144.8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743914.13</v>
      </c>
      <c r="I523" s="18"/>
      <c r="J523" s="18"/>
      <c r="K523" s="18"/>
      <c r="L523" s="88">
        <f>SUM(F523:K523)</f>
        <v>743914.13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579773.57999999996</v>
      </c>
      <c r="G524" s="108">
        <f t="shared" ref="G524:L524" si="36">SUM(G521:G523)</f>
        <v>190417.26</v>
      </c>
      <c r="H524" s="108">
        <f t="shared" si="36"/>
        <v>1034896.89</v>
      </c>
      <c r="I524" s="108">
        <f t="shared" si="36"/>
        <v>2851.7</v>
      </c>
      <c r="J524" s="108">
        <f t="shared" si="36"/>
        <v>22119.5</v>
      </c>
      <c r="K524" s="108">
        <f t="shared" si="36"/>
        <v>0</v>
      </c>
      <c r="L524" s="89">
        <f t="shared" si="36"/>
        <v>1830058.9300000002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269094.31</v>
      </c>
      <c r="G526" s="18">
        <v>118219.63</v>
      </c>
      <c r="H526" s="18">
        <v>29614.97</v>
      </c>
      <c r="I526" s="18">
        <v>1014.25</v>
      </c>
      <c r="J526" s="18">
        <v>397.22</v>
      </c>
      <c r="K526" s="18"/>
      <c r="L526" s="88">
        <f>SUM(F526:K526)</f>
        <v>418340.38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269094.31</v>
      </c>
      <c r="G529" s="89">
        <f t="shared" ref="G529:L529" si="37">SUM(G526:G528)</f>
        <v>118219.63</v>
      </c>
      <c r="H529" s="89">
        <f t="shared" si="37"/>
        <v>29614.97</v>
      </c>
      <c r="I529" s="89">
        <f t="shared" si="37"/>
        <v>1014.25</v>
      </c>
      <c r="J529" s="89">
        <f t="shared" si="37"/>
        <v>397.22</v>
      </c>
      <c r="K529" s="89">
        <f t="shared" si="37"/>
        <v>0</v>
      </c>
      <c r="L529" s="89">
        <f t="shared" si="37"/>
        <v>418340.38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167909.92</v>
      </c>
      <c r="G531" s="18">
        <v>55727.86</v>
      </c>
      <c r="H531" s="18">
        <v>1297.42</v>
      </c>
      <c r="I531" s="18">
        <v>127.19</v>
      </c>
      <c r="J531" s="18"/>
      <c r="K531" s="18">
        <v>5670</v>
      </c>
      <c r="L531" s="88">
        <f>SUM(F531:K531)</f>
        <v>230732.39000000004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167909.92</v>
      </c>
      <c r="G534" s="89">
        <f t="shared" ref="G534:L534" si="38">SUM(G531:G533)</f>
        <v>55727.86</v>
      </c>
      <c r="H534" s="89">
        <f t="shared" si="38"/>
        <v>1297.42</v>
      </c>
      <c r="I534" s="89">
        <f t="shared" si="38"/>
        <v>127.19</v>
      </c>
      <c r="J534" s="89">
        <f t="shared" si="38"/>
        <v>0</v>
      </c>
      <c r="K534" s="89">
        <f t="shared" si="38"/>
        <v>5670</v>
      </c>
      <c r="L534" s="89">
        <f t="shared" si="38"/>
        <v>230732.39000000004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5918.39</v>
      </c>
      <c r="I536" s="18"/>
      <c r="J536" s="18"/>
      <c r="K536" s="18"/>
      <c r="L536" s="88">
        <f>SUM(F536:K536)</f>
        <v>5918.39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5918.39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5918.39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121295</v>
      </c>
      <c r="I541" s="18"/>
      <c r="J541" s="18"/>
      <c r="K541" s="18"/>
      <c r="L541" s="88">
        <f>SUM(F541:K541)</f>
        <v>121295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65340</v>
      </c>
      <c r="I543" s="18"/>
      <c r="J543" s="18"/>
      <c r="K543" s="18"/>
      <c r="L543" s="88">
        <f>SUM(F543:K543)</f>
        <v>65340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186635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186635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1016777.8099999999</v>
      </c>
      <c r="G545" s="89">
        <f t="shared" ref="G545:L545" si="41">G524+G529+G534+G539+G544</f>
        <v>364364.75</v>
      </c>
      <c r="H545" s="89">
        <f t="shared" si="41"/>
        <v>1258362.67</v>
      </c>
      <c r="I545" s="89">
        <f t="shared" si="41"/>
        <v>3993.14</v>
      </c>
      <c r="J545" s="89">
        <f t="shared" si="41"/>
        <v>22516.720000000001</v>
      </c>
      <c r="K545" s="89">
        <f t="shared" si="41"/>
        <v>5670</v>
      </c>
      <c r="L545" s="89">
        <f t="shared" si="41"/>
        <v>2671685.0900000003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1086144.8</v>
      </c>
      <c r="G549" s="87">
        <f>L526</f>
        <v>418340.38</v>
      </c>
      <c r="H549" s="87">
        <f>L531</f>
        <v>230732.39000000004</v>
      </c>
      <c r="I549" s="87">
        <f>L536</f>
        <v>5918.39</v>
      </c>
      <c r="J549" s="87">
        <f>L541</f>
        <v>121295</v>
      </c>
      <c r="K549" s="87">
        <f>SUM(F549:J549)</f>
        <v>1862430.9600000002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743914.13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65340</v>
      </c>
      <c r="K551" s="87">
        <f>SUM(F551:J551)</f>
        <v>809254.13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1830058.9300000002</v>
      </c>
      <c r="G552" s="89">
        <f t="shared" si="42"/>
        <v>418340.38</v>
      </c>
      <c r="H552" s="89">
        <f t="shared" si="42"/>
        <v>230732.39000000004</v>
      </c>
      <c r="I552" s="89">
        <f t="shared" si="42"/>
        <v>5918.39</v>
      </c>
      <c r="J552" s="89">
        <f t="shared" si="42"/>
        <v>186635</v>
      </c>
      <c r="K552" s="89">
        <f t="shared" si="42"/>
        <v>2671685.0900000003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3701424.47+9937.04</f>
        <v>3711361.5100000002</v>
      </c>
      <c r="I575" s="87">
        <f>SUM(F575:H575)</f>
        <v>3711361.5100000002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10964.6</v>
      </c>
      <c r="I577" s="87">
        <f t="shared" si="47"/>
        <v>10964.6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f>311285+11159.35</f>
        <v>322444.34999999998</v>
      </c>
      <c r="I579" s="87">
        <f t="shared" si="47"/>
        <v>322444.34999999998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f>67245.06+34298.9</f>
        <v>101543.95999999999</v>
      </c>
      <c r="G580" s="18"/>
      <c r="H580" s="18"/>
      <c r="I580" s="87">
        <f t="shared" si="47"/>
        <v>101543.95999999999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110465.63</v>
      </c>
      <c r="G582" s="18"/>
      <c r="H582" s="18">
        <v>160359.85</v>
      </c>
      <c r="I582" s="87">
        <f t="shared" si="47"/>
        <v>270825.48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240468.53</v>
      </c>
      <c r="I583" s="87">
        <f t="shared" si="47"/>
        <v>240468.53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5613+2301</f>
        <v>7914</v>
      </c>
      <c r="I584" s="87">
        <f t="shared" si="47"/>
        <v>7914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324000</v>
      </c>
      <c r="I591" s="18"/>
      <c r="J591" s="18">
        <v>108000</v>
      </c>
      <c r="K591" s="104">
        <f t="shared" ref="K591:K597" si="48">SUM(H591:J591)</f>
        <v>432000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121295</v>
      </c>
      <c r="I592" s="18"/>
      <c r="J592" s="18">
        <v>65340</v>
      </c>
      <c r="K592" s="104">
        <f t="shared" si="48"/>
        <v>186635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5892.3</v>
      </c>
      <c r="I594" s="18"/>
      <c r="J594" s="18"/>
      <c r="K594" s="104">
        <f t="shared" si="48"/>
        <v>5892.3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7106.49</v>
      </c>
      <c r="I595" s="18"/>
      <c r="J595" s="18"/>
      <c r="K595" s="104">
        <f t="shared" si="48"/>
        <v>7106.49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163.97</v>
      </c>
      <c r="I597" s="18"/>
      <c r="J597" s="18"/>
      <c r="K597" s="104">
        <f t="shared" si="48"/>
        <v>163.97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458457.75999999995</v>
      </c>
      <c r="I598" s="108">
        <f>SUM(I591:I597)</f>
        <v>0</v>
      </c>
      <c r="J598" s="108">
        <f>SUM(J591:J597)</f>
        <v>173340</v>
      </c>
      <c r="K598" s="108">
        <f>SUM(K591:K597)</f>
        <v>631797.76000000001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106008.99</v>
      </c>
      <c r="I604" s="18"/>
      <c r="J604" s="18"/>
      <c r="K604" s="104">
        <f>SUM(H604:J604)</f>
        <v>106008.99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106008.99</v>
      </c>
      <c r="I605" s="108">
        <f>SUM(I602:I604)</f>
        <v>0</v>
      </c>
      <c r="J605" s="108">
        <f>SUM(J602:J604)</f>
        <v>0</v>
      </c>
      <c r="K605" s="108">
        <f>SUM(K602:K604)</f>
        <v>106008.99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1442594.06</v>
      </c>
      <c r="H617" s="109">
        <f>SUM(F52)</f>
        <v>1442594.06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69959.03</v>
      </c>
      <c r="H618" s="109">
        <f>SUM(G52)</f>
        <v>69959.03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89452.86</v>
      </c>
      <c r="H619" s="109">
        <f>SUM(H52)</f>
        <v>89452.86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140073.44</v>
      </c>
      <c r="H621" s="109">
        <f>SUM(J52)</f>
        <v>140073.44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322272.95999999996</v>
      </c>
      <c r="H622" s="109">
        <f>F476</f>
        <v>322272.95999999903</v>
      </c>
      <c r="I622" s="121" t="s">
        <v>101</v>
      </c>
      <c r="J622" s="109">
        <f t="shared" ref="J622:J655" si="50">G622-H622</f>
        <v>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2105.25</v>
      </c>
      <c r="H623" s="109">
        <f>G476</f>
        <v>2105.25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140073.44</v>
      </c>
      <c r="H626" s="109">
        <f>J476</f>
        <v>140073.44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11146006.120000001</v>
      </c>
      <c r="H627" s="104">
        <f>SUM(F468)</f>
        <v>11146006.119999999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143282.37</v>
      </c>
      <c r="H628" s="104">
        <f>SUM(G468)</f>
        <v>143282.37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249861.69</v>
      </c>
      <c r="H629" s="104">
        <f>SUM(H468)</f>
        <v>249861.69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110114.05</v>
      </c>
      <c r="H631" s="104">
        <f>SUM(J468)</f>
        <v>110114.05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11307631.25</v>
      </c>
      <c r="H632" s="104">
        <f>SUM(F472)</f>
        <v>11307631.25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249861.69</v>
      </c>
      <c r="H633" s="104">
        <f>SUM(H472)</f>
        <v>249861.69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9302.4</v>
      </c>
      <c r="H634" s="104">
        <f>I369</f>
        <v>9302.4000000000015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141178.9</v>
      </c>
      <c r="H635" s="104">
        <f>SUM(G472)</f>
        <v>141178.9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110114.05000000002</v>
      </c>
      <c r="H637" s="164">
        <f>SUM(J468)</f>
        <v>110114.05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129657.12</v>
      </c>
      <c r="H640" s="104">
        <f>SUM(G461)</f>
        <v>129657.12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10416.32</v>
      </c>
      <c r="H641" s="104">
        <f>SUM(H461)</f>
        <v>10416.32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140073.44</v>
      </c>
      <c r="H642" s="104">
        <f>SUM(I461)</f>
        <v>140073.44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114.05</v>
      </c>
      <c r="H644" s="104">
        <f>H408</f>
        <v>114.05000000000001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110000</v>
      </c>
      <c r="H645" s="104">
        <f>G408</f>
        <v>110000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110114.05</v>
      </c>
      <c r="H646" s="104">
        <f>L408</f>
        <v>110114.05000000002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631797.76000000001</v>
      </c>
      <c r="H647" s="104">
        <f>L208+L226+L244</f>
        <v>631797.76000000001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106008.99</v>
      </c>
      <c r="H648" s="104">
        <f>(J257+J338)-(J255+J336)</f>
        <v>106008.98999999999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458457.76</v>
      </c>
      <c r="H649" s="104">
        <f>H598</f>
        <v>458457.75999999995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173340</v>
      </c>
      <c r="H651" s="104">
        <f>J598</f>
        <v>173340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110000</v>
      </c>
      <c r="H655" s="104">
        <f>K266+K347</f>
        <v>110000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6943478.5999999996</v>
      </c>
      <c r="G660" s="19">
        <f>(L229+L309+L359)</f>
        <v>0</v>
      </c>
      <c r="H660" s="19">
        <f>(L247+L328+L360)</f>
        <v>4645193.24</v>
      </c>
      <c r="I660" s="19">
        <f>SUM(F660:H660)</f>
        <v>11588671.84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93413.98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93413.98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458457.76</v>
      </c>
      <c r="G662" s="19">
        <f>(L226+L306)-(J226+J306)</f>
        <v>0</v>
      </c>
      <c r="H662" s="19">
        <f>(L244+L325)-(J244+J325)</f>
        <v>173340</v>
      </c>
      <c r="I662" s="19">
        <f>SUM(F662:H662)</f>
        <v>631797.76000000001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318018.58</v>
      </c>
      <c r="G663" s="199">
        <f>SUM(G575:G587)+SUM(I602:I604)+L612</f>
        <v>0</v>
      </c>
      <c r="H663" s="199">
        <f>SUM(H575:H587)+SUM(J602:J604)+L613</f>
        <v>4453512.8400000008</v>
      </c>
      <c r="I663" s="19">
        <f>SUM(F663:H663)</f>
        <v>4771531.4200000009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6073588.2799999993</v>
      </c>
      <c r="G664" s="19">
        <f>G660-SUM(G661:G663)</f>
        <v>0</v>
      </c>
      <c r="H664" s="19">
        <f>H660-SUM(H661:H663)</f>
        <v>18340.399999999441</v>
      </c>
      <c r="I664" s="19">
        <f>I660-SUM(I661:I663)</f>
        <v>6091928.6799999988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434.88</v>
      </c>
      <c r="G665" s="248"/>
      <c r="H665" s="248"/>
      <c r="I665" s="19">
        <f>SUM(F665:H665)</f>
        <v>434.88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13966.12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14008.3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-18340.400000000001</v>
      </c>
      <c r="I669" s="19">
        <f>SUM(F669:H669)</f>
        <v>-18340.400000000001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13966.12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13966.12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Fremont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1730470.59</v>
      </c>
      <c r="C9" s="229">
        <f>'DOE25'!G197+'DOE25'!G215+'DOE25'!G233+'DOE25'!G276+'DOE25'!G295+'DOE25'!G314</f>
        <v>895450.77</v>
      </c>
    </row>
    <row r="10" spans="1:3" x14ac:dyDescent="0.2">
      <c r="A10" t="s">
        <v>779</v>
      </c>
      <c r="B10" s="240">
        <f>1616574.85+6550+1500</f>
        <v>1624624.85</v>
      </c>
      <c r="C10" s="240">
        <f>884265.48-6512.3+1509.87</f>
        <v>879263.04999999993</v>
      </c>
    </row>
    <row r="11" spans="1:3" x14ac:dyDescent="0.2">
      <c r="A11" t="s">
        <v>780</v>
      </c>
      <c r="B11" s="240">
        <v>20717.599999999999</v>
      </c>
      <c r="C11" s="240">
        <f>1268.96+6344.8+79.46+397.3+1584.9</f>
        <v>9675.42</v>
      </c>
    </row>
    <row r="12" spans="1:3" x14ac:dyDescent="0.2">
      <c r="A12" t="s">
        <v>781</v>
      </c>
      <c r="B12" s="240">
        <v>85128.14</v>
      </c>
      <c r="C12" s="240">
        <v>6512.3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1730470.59</v>
      </c>
      <c r="C13" s="231">
        <f>SUM(C10:C12)</f>
        <v>895450.77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579773.57999999996</v>
      </c>
      <c r="C18" s="229">
        <f>'DOE25'!G198+'DOE25'!G216+'DOE25'!G234+'DOE25'!G277+'DOE25'!G296+'DOE25'!G315</f>
        <v>190417.26</v>
      </c>
    </row>
    <row r="19" spans="1:3" x14ac:dyDescent="0.2">
      <c r="A19" t="s">
        <v>779</v>
      </c>
      <c r="B19" s="240">
        <f>187445.52+51556.25+3145.2+29613.48+9250</f>
        <v>281010.45</v>
      </c>
      <c r="C19" s="240">
        <f>190417.26-72776.34</f>
        <v>117640.92000000001</v>
      </c>
    </row>
    <row r="20" spans="1:3" x14ac:dyDescent="0.2">
      <c r="A20" t="s">
        <v>780</v>
      </c>
      <c r="B20" s="240">
        <f>953.22+278062.05+13278.16+1757.2</f>
        <v>294050.62999999995</v>
      </c>
      <c r="C20" s="240">
        <f>134.43+1015.78+350+148.92+70766.7</f>
        <v>72415.83</v>
      </c>
    </row>
    <row r="21" spans="1:3" x14ac:dyDescent="0.2">
      <c r="A21" t="s">
        <v>781</v>
      </c>
      <c r="B21" s="240">
        <v>4712.5</v>
      </c>
      <c r="C21" s="240">
        <v>360.51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579773.57999999996</v>
      </c>
      <c r="C22" s="231">
        <f>SUM(C19:C21)</f>
        <v>190417.26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35775</v>
      </c>
      <c r="C36" s="235">
        <f>'DOE25'!G200+'DOE25'!G218+'DOE25'!G236+'DOE25'!G279+'DOE25'!G298+'DOE25'!G317</f>
        <v>8048.19</v>
      </c>
    </row>
    <row r="37" spans="1:3" x14ac:dyDescent="0.2">
      <c r="A37" t="s">
        <v>779</v>
      </c>
      <c r="B37" s="240">
        <v>32187.5</v>
      </c>
      <c r="C37" s="240">
        <f>8048.19-19.13-255.32</f>
        <v>7773.74</v>
      </c>
    </row>
    <row r="38" spans="1:3" x14ac:dyDescent="0.2">
      <c r="A38" t="s">
        <v>780</v>
      </c>
      <c r="B38" s="240">
        <v>250</v>
      </c>
      <c r="C38" s="240">
        <v>19.13</v>
      </c>
    </row>
    <row r="39" spans="1:3" x14ac:dyDescent="0.2">
      <c r="A39" t="s">
        <v>781</v>
      </c>
      <c r="B39" s="240">
        <v>3337.5</v>
      </c>
      <c r="C39" s="240">
        <v>255.32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35775</v>
      </c>
      <c r="C40" s="231">
        <f>SUM(C37:C39)</f>
        <v>8048.19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Fremont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8218498.1699999999</v>
      </c>
      <c r="D5" s="20">
        <f>SUM('DOE25'!L197:L200)+SUM('DOE25'!L215:L218)+SUM('DOE25'!L233:L236)-F5-G5</f>
        <v>8199211.8399999999</v>
      </c>
      <c r="E5" s="243"/>
      <c r="F5" s="255">
        <f>SUM('DOE25'!J197:J200)+SUM('DOE25'!J215:J218)+SUM('DOE25'!J233:J236)</f>
        <v>18799.330000000002</v>
      </c>
      <c r="G5" s="53">
        <f>SUM('DOE25'!K197:K200)+SUM('DOE25'!K215:K218)+SUM('DOE25'!K233:K236)</f>
        <v>487</v>
      </c>
      <c r="H5" s="259"/>
    </row>
    <row r="6" spans="1:9" x14ac:dyDescent="0.2">
      <c r="A6" s="32">
        <v>2100</v>
      </c>
      <c r="B6" t="s">
        <v>801</v>
      </c>
      <c r="C6" s="245">
        <f t="shared" si="0"/>
        <v>639743.27</v>
      </c>
      <c r="D6" s="20">
        <f>'DOE25'!L202+'DOE25'!L220+'DOE25'!L238-F6-G6</f>
        <v>639071.62</v>
      </c>
      <c r="E6" s="243"/>
      <c r="F6" s="255">
        <f>'DOE25'!J202+'DOE25'!J220+'DOE25'!J238</f>
        <v>436.65</v>
      </c>
      <c r="G6" s="53">
        <f>'DOE25'!K202+'DOE25'!K220+'DOE25'!K238</f>
        <v>235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198692.99000000002</v>
      </c>
      <c r="D7" s="20">
        <f>'DOE25'!L203+'DOE25'!L221+'DOE25'!L239-F7-G7</f>
        <v>178437.61000000002</v>
      </c>
      <c r="E7" s="243"/>
      <c r="F7" s="255">
        <f>'DOE25'!J203+'DOE25'!J221+'DOE25'!J239</f>
        <v>19965.38</v>
      </c>
      <c r="G7" s="53">
        <f>'DOE25'!K203+'DOE25'!K221+'DOE25'!K239</f>
        <v>290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411946.72000000003</v>
      </c>
      <c r="D8" s="243"/>
      <c r="E8" s="20">
        <f>'DOE25'!L204+'DOE25'!L222+'DOE25'!L240-F8-G8-D9-D11</f>
        <v>392544.15</v>
      </c>
      <c r="F8" s="255">
        <f>'DOE25'!J204+'DOE25'!J222+'DOE25'!J240</f>
        <v>0</v>
      </c>
      <c r="G8" s="53">
        <f>'DOE25'!K204+'DOE25'!K222+'DOE25'!K240</f>
        <v>19402.57</v>
      </c>
      <c r="H8" s="259"/>
    </row>
    <row r="9" spans="1:9" x14ac:dyDescent="0.2">
      <c r="A9" s="32">
        <v>2310</v>
      </c>
      <c r="B9" t="s">
        <v>818</v>
      </c>
      <c r="C9" s="245">
        <f t="shared" si="0"/>
        <v>77209.710000000006</v>
      </c>
      <c r="D9" s="244">
        <v>77209.710000000006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11100</v>
      </c>
      <c r="D10" s="243"/>
      <c r="E10" s="244">
        <v>11100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185733.98</v>
      </c>
      <c r="D11" s="244">
        <v>185733.98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360482.31</v>
      </c>
      <c r="D12" s="20">
        <f>'DOE25'!L205+'DOE25'!L223+'DOE25'!L241-F12-G12</f>
        <v>348571.8</v>
      </c>
      <c r="E12" s="243"/>
      <c r="F12" s="255">
        <f>'DOE25'!J205+'DOE25'!J223+'DOE25'!J241</f>
        <v>1471.27</v>
      </c>
      <c r="G12" s="53">
        <f>'DOE25'!K205+'DOE25'!K223+'DOE25'!K241</f>
        <v>10439.24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473526.34</v>
      </c>
      <c r="D14" s="20">
        <f>'DOE25'!L207+'DOE25'!L225+'DOE25'!L243-F14-G14</f>
        <v>435162.07</v>
      </c>
      <c r="E14" s="243"/>
      <c r="F14" s="255">
        <f>'DOE25'!J207+'DOE25'!J225+'DOE25'!J243</f>
        <v>38364.269999999997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631797.76000000001</v>
      </c>
      <c r="D15" s="20">
        <f>'DOE25'!L208+'DOE25'!L226+'DOE25'!L244-F15-G15</f>
        <v>631797.76000000001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132927.88</v>
      </c>
      <c r="D29" s="20">
        <f>'DOE25'!L358+'DOE25'!L359+'DOE25'!L360-'DOE25'!I367-F29-G29</f>
        <v>132927.88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249861.69</v>
      </c>
      <c r="D31" s="20">
        <f>'DOE25'!L290+'DOE25'!L309+'DOE25'!L328+'DOE25'!L333+'DOE25'!L334+'DOE25'!L335-F31-G31</f>
        <v>220361.66</v>
      </c>
      <c r="E31" s="243"/>
      <c r="F31" s="255">
        <f>'DOE25'!J290+'DOE25'!J309+'DOE25'!J328+'DOE25'!J333+'DOE25'!J334+'DOE25'!J335</f>
        <v>26972.09</v>
      </c>
      <c r="G31" s="53">
        <f>'DOE25'!K290+'DOE25'!K309+'DOE25'!K328+'DOE25'!K333+'DOE25'!K334+'DOE25'!K335</f>
        <v>2527.94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11048485.930000002</v>
      </c>
      <c r="E33" s="246">
        <f>SUM(E5:E31)</f>
        <v>403644.15</v>
      </c>
      <c r="F33" s="246">
        <f>SUM(F5:F31)</f>
        <v>106008.98999999999</v>
      </c>
      <c r="G33" s="246">
        <f>SUM(G5:G31)</f>
        <v>33381.75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403644.15</v>
      </c>
      <c r="E35" s="249"/>
    </row>
    <row r="36" spans="2:8" ht="12" thickTop="1" x14ac:dyDescent="0.2">
      <c r="B36" t="s">
        <v>815</v>
      </c>
      <c r="D36" s="20">
        <f>D33</f>
        <v>11048485.930000002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1119757.05</v>
      </c>
      <c r="D8" s="95">
        <f>'DOE25'!G9</f>
        <v>56278.65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92931.56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140073.44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148813.04999999999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80751.899999999994</v>
      </c>
      <c r="D12" s="95">
        <f>'DOE25'!G13</f>
        <v>7337.23</v>
      </c>
      <c r="E12" s="95">
        <f>'DOE25'!H13</f>
        <v>89452.86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340.5</v>
      </c>
      <c r="D13" s="95">
        <f>'DOE25'!G14</f>
        <v>3355.11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2988.04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1442594.06</v>
      </c>
      <c r="D18" s="41">
        <f>SUM(D8:D17)</f>
        <v>69959.03</v>
      </c>
      <c r="E18" s="41">
        <f>SUM(E8:E17)</f>
        <v>89452.86</v>
      </c>
      <c r="F18" s="41">
        <f>SUM(F8:F17)</f>
        <v>0</v>
      </c>
      <c r="G18" s="41">
        <f>SUM(G8:G17)</f>
        <v>140073.44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64174.27</v>
      </c>
      <c r="E21" s="95">
        <f>'DOE25'!H22</f>
        <v>84638.78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 t="str">
        <f>'DOE25'!G23</f>
        <v xml:space="preserve"> 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895839.27</v>
      </c>
      <c r="D23" s="95">
        <f>'DOE25'!G24</f>
        <v>0</v>
      </c>
      <c r="E23" s="95">
        <f>'DOE25'!H24</f>
        <v>1948.61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7730.11</v>
      </c>
      <c r="D27" s="95">
        <f>'DOE25'!G28</f>
        <v>0</v>
      </c>
      <c r="E27" s="95">
        <f>'DOE25'!H28</f>
        <v>2807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330.23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2705</v>
      </c>
      <c r="D29" s="95">
        <f>'DOE25'!G30</f>
        <v>3679.51</v>
      </c>
      <c r="E29" s="95">
        <f>'DOE25'!H30</f>
        <v>58.47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213716.49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1120321.1000000001</v>
      </c>
      <c r="D31" s="41">
        <f>SUM(D21:D30)</f>
        <v>67853.78</v>
      </c>
      <c r="E31" s="41">
        <f>SUM(E21:E30)</f>
        <v>89452.86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2988.04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-882.79</v>
      </c>
      <c r="E47" s="95">
        <f>'DOE25'!H48</f>
        <v>0</v>
      </c>
      <c r="F47" s="95">
        <f>'DOE25'!I48</f>
        <v>0</v>
      </c>
      <c r="G47" s="95">
        <f>'DOE25'!J48</f>
        <v>140073.44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212272.96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322272.95999999996</v>
      </c>
      <c r="D50" s="41">
        <f>SUM(D34:D49)</f>
        <v>2105.25</v>
      </c>
      <c r="E50" s="41">
        <f>SUM(E34:E49)</f>
        <v>0</v>
      </c>
      <c r="F50" s="41">
        <f>SUM(F34:F49)</f>
        <v>0</v>
      </c>
      <c r="G50" s="41">
        <f>SUM(G34:G49)</f>
        <v>140073.44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1442594.06</v>
      </c>
      <c r="D51" s="41">
        <f>D50+D31</f>
        <v>69959.03</v>
      </c>
      <c r="E51" s="41">
        <f>E50+E31</f>
        <v>89452.86</v>
      </c>
      <c r="F51" s="41">
        <f>F50+F31</f>
        <v>0</v>
      </c>
      <c r="G51" s="41">
        <f>G50+G31</f>
        <v>140073.44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8293785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16909.48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1317.46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114.05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93413.98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110638.53</v>
      </c>
      <c r="D61" s="95">
        <f>SUM('DOE25'!G98:G110)</f>
        <v>0</v>
      </c>
      <c r="E61" s="95">
        <f>SUM('DOE25'!H98:H110)</f>
        <v>321.41000000000003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128865.47</v>
      </c>
      <c r="D62" s="130">
        <f>SUM(D57:D61)</f>
        <v>93413.98</v>
      </c>
      <c r="E62" s="130">
        <f>SUM(E57:E61)</f>
        <v>321.41000000000003</v>
      </c>
      <c r="F62" s="130">
        <f>SUM(F57:F61)</f>
        <v>0</v>
      </c>
      <c r="G62" s="130">
        <f>SUM(G57:G61)</f>
        <v>114.05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8422650.4700000007</v>
      </c>
      <c r="D63" s="22">
        <f>D56+D62</f>
        <v>93413.98</v>
      </c>
      <c r="E63" s="22">
        <f>E56+E62</f>
        <v>321.41000000000003</v>
      </c>
      <c r="F63" s="22">
        <f>F56+F62</f>
        <v>0</v>
      </c>
      <c r="G63" s="22">
        <f>G56+G62</f>
        <v>114.05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1671478.69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867240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11291.88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2550010.5699999998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82380.86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10294.6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82380.86</v>
      </c>
      <c r="D78" s="130">
        <f>SUM(D72:D77)</f>
        <v>10294.6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2632391.4299999997</v>
      </c>
      <c r="D81" s="130">
        <f>SUM(D79:D80)+D78+D70</f>
        <v>10294.6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27839.4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90964.22</v>
      </c>
      <c r="D88" s="95">
        <f>SUM('DOE25'!G153:G161)</f>
        <v>39573.79</v>
      </c>
      <c r="E88" s="95">
        <f>SUM('DOE25'!H153:H161)</f>
        <v>221700.88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90964.22</v>
      </c>
      <c r="D91" s="131">
        <f>SUM(D85:D90)</f>
        <v>39573.79</v>
      </c>
      <c r="E91" s="131">
        <f>SUM(E85:E90)</f>
        <v>249540.28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110000</v>
      </c>
    </row>
    <row r="104" spans="1:7" ht="12.75" thickTop="1" thickBot="1" x14ac:dyDescent="0.25">
      <c r="A104" s="33" t="s">
        <v>765</v>
      </c>
      <c r="C104" s="86">
        <f>C63+C81+C91+C103</f>
        <v>11146006.120000001</v>
      </c>
      <c r="D104" s="86">
        <f>D63+D81+D91+D103</f>
        <v>143282.37</v>
      </c>
      <c r="E104" s="86">
        <f>E63+E81+E91+E103</f>
        <v>249861.69</v>
      </c>
      <c r="F104" s="86">
        <f>F63+F81+F91+F103</f>
        <v>0</v>
      </c>
      <c r="G104" s="86">
        <f>G63+G81+G103</f>
        <v>110114.05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6450053.5299999993</v>
      </c>
      <c r="D109" s="24" t="s">
        <v>289</v>
      </c>
      <c r="E109" s="95">
        <f>('DOE25'!L276)+('DOE25'!L295)+('DOE25'!L314)</f>
        <v>47666.01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1708359.7</v>
      </c>
      <c r="D110" s="24" t="s">
        <v>289</v>
      </c>
      <c r="E110" s="95">
        <f>('DOE25'!L277)+('DOE25'!L296)+('DOE25'!L315)</f>
        <v>121699.22999999998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5613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54471.94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8218498.1699999999</v>
      </c>
      <c r="D115" s="86">
        <f>SUM(D109:D114)</f>
        <v>0</v>
      </c>
      <c r="E115" s="86">
        <f>SUM(E109:E114)</f>
        <v>169365.24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639743.27</v>
      </c>
      <c r="D118" s="24" t="s">
        <v>289</v>
      </c>
      <c r="E118" s="95">
        <f>+('DOE25'!L281)+('DOE25'!L300)+('DOE25'!L319)</f>
        <v>22770.15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198692.99000000002</v>
      </c>
      <c r="D119" s="24" t="s">
        <v>289</v>
      </c>
      <c r="E119" s="95">
        <f>+('DOE25'!L282)+('DOE25'!L301)+('DOE25'!L320)</f>
        <v>53561.900000000009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674890.40999999992</v>
      </c>
      <c r="D120" s="24" t="s">
        <v>289</v>
      </c>
      <c r="E120" s="95">
        <f>+('DOE25'!L283)+('DOE25'!L302)+('DOE25'!L321)</f>
        <v>4164.3999999999996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360482.31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473526.34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631797.76000000001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141178.9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2979133.08</v>
      </c>
      <c r="D128" s="86">
        <f>SUM(D118:D127)</f>
        <v>141178.9</v>
      </c>
      <c r="E128" s="86">
        <f>SUM(E118:E127)</f>
        <v>80496.450000000012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110098.98000000001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15.07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-114.05000000001746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11307631.25</v>
      </c>
      <c r="D145" s="86">
        <f>(D115+D128+D144)</f>
        <v>141178.9</v>
      </c>
      <c r="E145" s="86">
        <f>(E115+E128+E144)</f>
        <v>249861.69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04/13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67291.399999999994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40717.51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40717.51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13215.18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13215.18</v>
      </c>
    </row>
    <row r="159" spans="1:9" x14ac:dyDescent="0.2">
      <c r="A159" s="22" t="s">
        <v>35</v>
      </c>
      <c r="B159" s="137">
        <f>'DOE25'!F498</f>
        <v>27502.33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27502.33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27502.33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27502.33</v>
      </c>
    </row>
    <row r="162" spans="1:7" x14ac:dyDescent="0.2">
      <c r="A162" s="22" t="s">
        <v>38</v>
      </c>
      <c r="B162" s="137">
        <f>'DOE25'!F501</f>
        <v>13569.35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13569.35</v>
      </c>
    </row>
    <row r="163" spans="1:7" x14ac:dyDescent="0.2">
      <c r="A163" s="22" t="s">
        <v>39</v>
      </c>
      <c r="B163" s="137">
        <f>'DOE25'!F502</f>
        <v>737.06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737.06</v>
      </c>
    </row>
    <row r="164" spans="1:7" x14ac:dyDescent="0.2">
      <c r="A164" s="22" t="s">
        <v>246</v>
      </c>
      <c r="B164" s="137">
        <f>'DOE25'!F503</f>
        <v>14306.41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14306.41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" workbookViewId="0">
      <selection activeCell="C10" sqref="C1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Fremont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13966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13966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6497720</v>
      </c>
      <c r="D10" s="182">
        <f>ROUND((C10/$C$28)*100,1)</f>
        <v>56.5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1830059</v>
      </c>
      <c r="D11" s="182">
        <f>ROUND((C11/$C$28)*100,1)</f>
        <v>15.9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5613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54472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662513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252255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679055</v>
      </c>
      <c r="D17" s="182">
        <f t="shared" si="0"/>
        <v>5.9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360482</v>
      </c>
      <c r="D18" s="182">
        <f t="shared" si="0"/>
        <v>3.1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473526</v>
      </c>
      <c r="D20" s="182">
        <f t="shared" si="0"/>
        <v>4.0999999999999996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631798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47765.020000000004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11495258.02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11495258.02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8293785</v>
      </c>
      <c r="D35" s="182">
        <f t="shared" ref="D35:D40" si="1">ROUND((C35/$C$41)*100,1)</f>
        <v>72.5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129300.93000000156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2538719</v>
      </c>
      <c r="D37" s="182">
        <f t="shared" si="1"/>
        <v>22.2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103967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380078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11445849.930000002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Fremont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2016-09-09T11:54:48Z</cp:lastPrinted>
  <dcterms:created xsi:type="dcterms:W3CDTF">1997-12-04T19:04:30Z</dcterms:created>
  <dcterms:modified xsi:type="dcterms:W3CDTF">2016-09-29T17:54:33Z</dcterms:modified>
</cp:coreProperties>
</file>