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8" i="12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D15" i="13" s="1"/>
  <c r="C15" i="13" s="1"/>
  <c r="F17" i="13"/>
  <c r="G17" i="13"/>
  <c r="L251" i="1"/>
  <c r="F18" i="13"/>
  <c r="G18" i="13"/>
  <c r="D18" i="13" s="1"/>
  <c r="C18" i="13" s="1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C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I408" i="1" s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H640" i="1"/>
  <c r="G641" i="1"/>
  <c r="H641" i="1"/>
  <c r="G643" i="1"/>
  <c r="H643" i="1"/>
  <c r="G644" i="1"/>
  <c r="G645" i="1"/>
  <c r="H645" i="1"/>
  <c r="G649" i="1"/>
  <c r="G652" i="1"/>
  <c r="H652" i="1"/>
  <c r="G653" i="1"/>
  <c r="H653" i="1"/>
  <c r="G654" i="1"/>
  <c r="H654" i="1"/>
  <c r="H655" i="1"/>
  <c r="F192" i="1"/>
  <c r="L256" i="1"/>
  <c r="C26" i="10"/>
  <c r="L328" i="1"/>
  <c r="L351" i="1"/>
  <c r="L427" i="1"/>
  <c r="H112" i="1"/>
  <c r="F112" i="1"/>
  <c r="J641" i="1"/>
  <c r="J571" i="1"/>
  <c r="K571" i="1"/>
  <c r="L433" i="1"/>
  <c r="L419" i="1"/>
  <c r="I169" i="1"/>
  <c r="J643" i="1"/>
  <c r="J476" i="1"/>
  <c r="H626" i="1" s="1"/>
  <c r="F476" i="1"/>
  <c r="H622" i="1" s="1"/>
  <c r="J622" i="1" s="1"/>
  <c r="I476" i="1"/>
  <c r="H625" i="1" s="1"/>
  <c r="J625" i="1" s="1"/>
  <c r="G338" i="1"/>
  <c r="G352" i="1" s="1"/>
  <c r="F169" i="1"/>
  <c r="J140" i="1"/>
  <c r="F571" i="1"/>
  <c r="I552" i="1"/>
  <c r="G22" i="2"/>
  <c r="K545" i="1"/>
  <c r="C29" i="10"/>
  <c r="H140" i="1"/>
  <c r="L393" i="1"/>
  <c r="F22" i="13"/>
  <c r="C22" i="13" s="1"/>
  <c r="J640" i="1"/>
  <c r="H571" i="1"/>
  <c r="L560" i="1"/>
  <c r="J545" i="1"/>
  <c r="G192" i="1"/>
  <c r="H192" i="1"/>
  <c r="C35" i="10"/>
  <c r="J655" i="1"/>
  <c r="J645" i="1"/>
  <c r="L570" i="1"/>
  <c r="I571" i="1"/>
  <c r="J636" i="1"/>
  <c r="L565" i="1"/>
  <c r="C138" i="2"/>
  <c r="L614" i="1" l="1"/>
  <c r="K598" i="1"/>
  <c r="G647" i="1" s="1"/>
  <c r="J649" i="1"/>
  <c r="I545" i="1"/>
  <c r="L529" i="1"/>
  <c r="G552" i="1"/>
  <c r="K550" i="1"/>
  <c r="G545" i="1"/>
  <c r="K549" i="1"/>
  <c r="H545" i="1"/>
  <c r="L544" i="1"/>
  <c r="J552" i="1"/>
  <c r="K551" i="1"/>
  <c r="L524" i="1"/>
  <c r="K503" i="1"/>
  <c r="J634" i="1"/>
  <c r="H661" i="1"/>
  <c r="G661" i="1"/>
  <c r="D127" i="2"/>
  <c r="D128" i="2" s="1"/>
  <c r="D145" i="2" s="1"/>
  <c r="F661" i="1"/>
  <c r="L362" i="1"/>
  <c r="C27" i="10" s="1"/>
  <c r="E109" i="2"/>
  <c r="L309" i="1"/>
  <c r="E110" i="2"/>
  <c r="F338" i="1"/>
  <c r="F352" i="1" s="1"/>
  <c r="H338" i="1"/>
  <c r="H352" i="1" s="1"/>
  <c r="E124" i="2"/>
  <c r="L290" i="1"/>
  <c r="L338" i="1" s="1"/>
  <c r="L352" i="1" s="1"/>
  <c r="G633" i="1" s="1"/>
  <c r="J633" i="1" s="1"/>
  <c r="C25" i="13"/>
  <c r="H33" i="13"/>
  <c r="C132" i="2"/>
  <c r="C25" i="10"/>
  <c r="I662" i="1"/>
  <c r="H647" i="1"/>
  <c r="J647" i="1" s="1"/>
  <c r="G651" i="1"/>
  <c r="J651" i="1" s="1"/>
  <c r="C21" i="10"/>
  <c r="C20" i="10"/>
  <c r="C123" i="2"/>
  <c r="D14" i="13"/>
  <c r="C14" i="13" s="1"/>
  <c r="C122" i="2"/>
  <c r="C19" i="10"/>
  <c r="E13" i="13"/>
  <c r="C13" i="13" s="1"/>
  <c r="C121" i="2"/>
  <c r="C18" i="10"/>
  <c r="C17" i="10"/>
  <c r="C120" i="2"/>
  <c r="C16" i="10"/>
  <c r="C119" i="2"/>
  <c r="A31" i="12"/>
  <c r="A40" i="12"/>
  <c r="C10" i="10"/>
  <c r="C12" i="10"/>
  <c r="C15" i="10"/>
  <c r="D6" i="13"/>
  <c r="C6" i="13" s="1"/>
  <c r="C118" i="2"/>
  <c r="C13" i="10"/>
  <c r="C112" i="2"/>
  <c r="C111" i="2"/>
  <c r="K257" i="1"/>
  <c r="K271" i="1" s="1"/>
  <c r="F257" i="1"/>
  <c r="F271" i="1" s="1"/>
  <c r="G164" i="2"/>
  <c r="G161" i="2"/>
  <c r="D91" i="2"/>
  <c r="C91" i="2"/>
  <c r="E78" i="2"/>
  <c r="E81" i="2" s="1"/>
  <c r="D31" i="2"/>
  <c r="A13" i="12"/>
  <c r="D29" i="13"/>
  <c r="C29" i="13" s="1"/>
  <c r="E103" i="2"/>
  <c r="F78" i="2"/>
  <c r="F81" i="2" s="1"/>
  <c r="E62" i="2"/>
  <c r="E63" i="2" s="1"/>
  <c r="E128" i="2"/>
  <c r="D81" i="2"/>
  <c r="F18" i="2"/>
  <c r="D17" i="13"/>
  <c r="C17" i="13" s="1"/>
  <c r="D7" i="13"/>
  <c r="C7" i="13" s="1"/>
  <c r="G156" i="2"/>
  <c r="D18" i="2"/>
  <c r="D19" i="13"/>
  <c r="C19" i="13" s="1"/>
  <c r="D12" i="13"/>
  <c r="C12" i="13" s="1"/>
  <c r="E8" i="13"/>
  <c r="C8" i="13" s="1"/>
  <c r="C11" i="10"/>
  <c r="L247" i="1"/>
  <c r="H660" i="1" s="1"/>
  <c r="G257" i="1"/>
  <c r="G271" i="1" s="1"/>
  <c r="I257" i="1"/>
  <c r="I271" i="1" s="1"/>
  <c r="H257" i="1"/>
  <c r="H271" i="1" s="1"/>
  <c r="C110" i="2"/>
  <c r="L229" i="1"/>
  <c r="G660" i="1" s="1"/>
  <c r="J257" i="1"/>
  <c r="J271" i="1" s="1"/>
  <c r="C109" i="2"/>
  <c r="L211" i="1"/>
  <c r="D5" i="13"/>
  <c r="C5" i="13" s="1"/>
  <c r="H476" i="1"/>
  <c r="H624" i="1" s="1"/>
  <c r="J624" i="1" s="1"/>
  <c r="C78" i="2"/>
  <c r="C70" i="2"/>
  <c r="C62" i="2"/>
  <c r="C63" i="2" s="1"/>
  <c r="J639" i="1"/>
  <c r="I446" i="1"/>
  <c r="G642" i="1" s="1"/>
  <c r="J642" i="1" s="1"/>
  <c r="G62" i="2"/>
  <c r="G63" i="2" s="1"/>
  <c r="J644" i="1"/>
  <c r="H52" i="1"/>
  <c r="H619" i="1" s="1"/>
  <c r="J623" i="1"/>
  <c r="C18" i="2"/>
  <c r="G81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J618" i="1"/>
  <c r="G42" i="2"/>
  <c r="G50" i="2" s="1"/>
  <c r="J51" i="1"/>
  <c r="G16" i="2"/>
  <c r="J19" i="1"/>
  <c r="G621" i="1" s="1"/>
  <c r="F33" i="13"/>
  <c r="G18" i="2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K552" i="1" l="1"/>
  <c r="L545" i="1"/>
  <c r="H664" i="1"/>
  <c r="H672" i="1" s="1"/>
  <c r="C6" i="10" s="1"/>
  <c r="G664" i="1"/>
  <c r="G667" i="1" s="1"/>
  <c r="I661" i="1"/>
  <c r="G635" i="1"/>
  <c r="J635" i="1" s="1"/>
  <c r="E115" i="2"/>
  <c r="E145" i="2" s="1"/>
  <c r="E33" i="13"/>
  <c r="D35" i="13" s="1"/>
  <c r="C128" i="2"/>
  <c r="D31" i="13"/>
  <c r="C31" i="13" s="1"/>
  <c r="F104" i="2"/>
  <c r="G51" i="2"/>
  <c r="D104" i="2"/>
  <c r="E104" i="2"/>
  <c r="L257" i="1"/>
  <c r="L271" i="1" s="1"/>
  <c r="G632" i="1" s="1"/>
  <c r="J632" i="1" s="1"/>
  <c r="C81" i="2"/>
  <c r="C115" i="2"/>
  <c r="C28" i="10"/>
  <c r="D19" i="10" s="1"/>
  <c r="H667" i="1"/>
  <c r="H648" i="1"/>
  <c r="J648" i="1" s="1"/>
  <c r="F660" i="1"/>
  <c r="F664" i="1" s="1"/>
  <c r="F672" i="1" s="1"/>
  <c r="C4" i="10" s="1"/>
  <c r="C104" i="2"/>
  <c r="H646" i="1"/>
  <c r="J646" i="1" s="1"/>
  <c r="F51" i="2"/>
  <c r="G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C145" i="2"/>
  <c r="D11" i="10"/>
  <c r="D21" i="10"/>
  <c r="D22" i="10"/>
  <c r="D13" i="10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<sst xmlns="http://schemas.openxmlformats.org/spreadsheetml/2006/main" count="3957" uniqueCount="915">
  <si>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</si>
  <si>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</si>
  <si>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</si>
  <si>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</si>
  <si>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</si>
  <si>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</si>
  <si>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</si>
  <si>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</si>
  <si>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</si>
  <si>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</si>
  <si>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</si>
  <si>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</si>
  <si>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</si>
  <si>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</si>
  <si>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</si>
  <si>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</si>
  <si>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</si>
  <si>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</si>
  <si>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</si>
  <si>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</si>
  <si>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</si>
  <si>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</si>
  <si>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</si>
  <si>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</si>
  <si>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</si>
  <si>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</si>
  <si>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</si>
  <si>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</si>
  <si>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</si>
  <si>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</si>
  <si>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</si>
  <si>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</si>
  <si>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</si>
  <si>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</si>
  <si>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</si>
  <si>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</si>
  <si>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</si>
  <si>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</si>
  <si>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</si>
  <si>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</si>
  <si>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</si>
  <si>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</si>
  <si>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</si>
  <si>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</si>
  <si>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</si>
  <si>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</si>
  <si>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</si>
  <si>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</si>
  <si>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</si>
  <si>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</si>
  <si>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</si>
  <si>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</si>
  <si>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</si>
  <si>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</si>
  <si>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</si>
  <si>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</si>
  <si>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</si>
  <si>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</si>
  <si>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</si>
  <si>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</si>
  <si>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</si>
  <si>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</si>
  <si>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</si>
  <si>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</si>
  <si>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</si>
  <si>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</si>
  <si>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</si>
  <si>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</si>
  <si>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</si>
  <si>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</si>
  <si>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</si>
  <si>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</si>
  <si>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</si>
  <si>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</si>
  <si>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</si>
  <si>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</si>
  <si>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</si>
  <si>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</si>
  <si>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</si>
  <si>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</si>
  <si>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</si>
  <si>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</si>
  <si>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</si>
  <si>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</si>
  <si>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</si>
  <si>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</si>
  <si>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</si>
  <si>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</si>
  <si>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</si>
  <si>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</si>
  <si>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</si>
  <si>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</si>
  <si>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</si>
  <si>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</si>
  <si>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</si>
  <si>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</si>
  <si>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</si>
  <si>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</si>
  <si>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</si>
  <si>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</si>
  <si>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</si>
  <si>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</si>
  <si>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</si>
  <si>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</si>
  <si>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</si>
  <si>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</si>
  <si>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</si>
  <si>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</si>
  <si>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</si>
  <si>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</si>
  <si>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</si>
  <si>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</si>
  <si>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</si>
  <si>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</si>
  <si>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</si>
  <si>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</si>
  <si>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</si>
  <si>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</si>
  <si>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</si>
  <si>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</si>
  <si>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</si>
  <si>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</si>
  <si>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</si>
  <si>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</si>
  <si>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</si>
  <si>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</si>
  <si>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</si>
  <si>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</si>
  <si>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</si>
  <si>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</si>
  <si>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</si>
  <si>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</si>
  <si>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</si>
  <si>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</si>
  <si>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</si>
  <si>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</si>
  <si>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</si>
  <si>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</si>
  <si>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</si>
  <si>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</si>
  <si>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</si>
  <si>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</si>
  <si>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</si>
  <si>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</si>
  <si>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</si>
  <si>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</si>
  <si>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</si>
  <si>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</si>
  <si>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</si>
  <si>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</si>
  <si>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</si>
  <si>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</si>
  <si>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</si>
  <si>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</si>
  <si>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</si>
  <si>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</si>
  <si>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</si>
  <si>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</si>
  <si>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</si>
  <si>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</si>
  <si>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</si>
  <si>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</si>
  <si>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</si>
  <si>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</si>
  <si>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</si>
  <si>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</si>
  <si>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</si>
  <si>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</si>
  <si>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</si>
  <si>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</si>
  <si>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</si>
  <si>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</si>
  <si>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</si>
  <si>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</si>
  <si>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</si>
  <si>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</si>
  <si>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</si>
  <si>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</si>
  <si>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</si>
  <si>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</si>
  <si>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</si>
  <si>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</si>
  <si>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</si>
  <si>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</si>
  <si>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</si>
  <si>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</si>
  <si>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</si>
  <si>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</si>
  <si>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</si>
  <si>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</si>
  <si>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</si>
  <si>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</si>
  <si>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</si>
  <si>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</si>
  <si>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</si>
  <si>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</si>
  <si>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</si>
  <si>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</si>
  <si>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</si>
  <si>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</si>
  <si>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</si>
  <si>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</si>
  <si>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</si>
  <si>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</si>
  <si>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</si>
  <si>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</si>
  <si>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</si>
  <si>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</si>
  <si>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</si>
  <si>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</si>
  <si>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</si>
  <si>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</si>
  <si>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</si>
  <si>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</si>
  <si>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</si>
  <si>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</si>
  <si>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</si>
  <si>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</si>
  <si>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</si>
  <si>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</si>
  <si>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</si>
  <si>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</si>
  <si>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</si>
  <si>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</si>
  <si>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</si>
  <si>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</si>
  <si>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</si>
  <si>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</si>
  <si>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</si>
  <si>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</si>
  <si>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</si>
  <si>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</si>
  <si>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</si>
  <si>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</si>
  <si>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</si>
  <si>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</si>
  <si>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</si>
  <si>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</si>
  <si>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</si>
  <si>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</si>
  <si>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</si>
  <si>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</si>
  <si>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</si>
  <si>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</si>
  <si>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</si>
  <si>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</si>
  <si>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</si>
  <si>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</si>
  <si>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</si>
  <si>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</si>
  <si>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</si>
  <si>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</si>
  <si>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</si>
  <si>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</si>
  <si>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</si>
  <si>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</si>
  <si>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</si>
  <si>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</si>
  <si>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</si>
  <si>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</si>
  <si>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</si>
  <si>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</si>
  <si>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</si>
  <si>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</si>
  <si>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</si>
  <si>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</si>
  <si>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</si>
  <si>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</si>
  <si>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</si>
  <si>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</si>
  <si>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</si>
  <si>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</si>
  <si>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</si>
  <si>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</si>
  <si>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</si>
  <si>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</si>
  <si>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</si>
  <si>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</si>
  <si>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</si>
  <si>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</si>
  <si>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</si>
  <si>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</si>
  <si>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</si>
  <si>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</si>
  <si>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</si>
  <si>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</si>
  <si>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</si>
  <si>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</si>
  <si>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</si>
  <si>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</si>
  <si>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</si>
  <si>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</si>
  <si>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</si>
  <si>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</si>
  <si>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</si>
  <si>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</si>
  <si>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</si>
  <si>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</si>
  <si>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</si>
  <si>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</si>
  <si>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</si>
  <si>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</si>
  <si>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</si>
  <si>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</si>
  <si>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</si>
  <si>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</si>
  <si>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</si>
  <si>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</si>
  <si>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</si>
  <si>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</si>
  <si>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</si>
  <si>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</si>
  <si>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</si>
  <si>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</si>
  <si>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</si>
  <si>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</si>
  <si>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</si>
  <si>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</si>
  <si>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</si>
  <si>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</si>
  <si>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</si>
  <si>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</si>
  <si>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</si>
  <si>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</si>
  <si>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</si>
  <si>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</si>
  <si>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</si>
  <si>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</si>
  <si>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</si>
  <si>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</si>
  <si>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</si>
  <si>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</si>
  <si>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</si>
  <si>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</si>
  <si>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</si>
  <si>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</si>
  <si>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</si>
  <si>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</si>
  <si>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</si>
  <si>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</si>
  <si>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</si>
  <si>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</si>
  <si>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</si>
  <si>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</si>
  <si>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</si>
  <si>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</si>
  <si>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</si>
  <si>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</si>
  <si>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</si>
  <si>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</si>
  <si>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</si>
  <si>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</si>
  <si>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</si>
  <si>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</si>
  <si>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</si>
  <si>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</si>
  <si>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</si>
  <si>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</si>
  <si>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</si>
  <si>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</si>
  <si>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</si>
  <si>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</si>
  <si>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</si>
  <si>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</si>
  <si>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</si>
  <si>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</si>
  <si>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</si>
  <si>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</si>
  <si>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</si>
  <si>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</si>
  <si>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</si>
  <si>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</si>
  <si>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</si>
  <si>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</si>
  <si>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</si>
  <si>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</si>
  <si>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</si>
  <si>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</si>
  <si>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</si>
  <si>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</si>
  <si>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</si>
  <si>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</si>
  <si>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</si>
  <si>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</si>
  <si>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</si>
  <si>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</si>
  <si>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</si>
  <si>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</si>
  <si>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</si>
  <si>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</si>
  <si>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</si>
  <si>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</si>
  <si>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</si>
  <si>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</si>
  <si>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</si>
  <si>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</si>
  <si>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</si>
  <si>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</si>
  <si>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</si>
  <si>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</si>
  <si>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</si>
  <si>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</si>
  <si>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</si>
  <si>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</si>
  <si>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</si>
  <si>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</si>
  <si>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</si>
  <si>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</si>
  <si>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</si>
  <si>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</si>
  <si>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</si>
  <si>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</si>
  <si>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</si>
  <si>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</si>
  <si>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</si>
  <si>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</si>
  <si>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</si>
  <si>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</si>
  <si>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</si>
  <si>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</si>
  <si>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</si>
  <si>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</si>
  <si>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</si>
  <si>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</si>
  <si>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</si>
  <si>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</si>
  <si>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</si>
  <si>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</si>
  <si>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</si>
  <si>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</si>
  <si>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</si>
  <si>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</si>
  <si>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</si>
  <si>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</si>
  <si>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</si>
  <si>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</si>
  <si>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</si>
  <si>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</si>
  <si>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</si>
  <si>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</si>
  <si>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</si>
  <si>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</si>
  <si>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</si>
  <si>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</si>
  <si>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</si>
  <si>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</si>
  <si>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</si>
  <si>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</si>
  <si>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</si>
  <si>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</si>
  <si>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</si>
  <si>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</si>
  <si>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</si>
  <si>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</si>
  <si>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</si>
  <si>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</si>
  <si>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</si>
  <si>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</si>
  <si>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</si>
  <si>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</si>
  <si>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</si>
  <si>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</si>
  <si>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</si>
  <si>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</si>
  <si>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</si>
  <si>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</si>
  <si>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</si>
  <si>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</si>
  <si>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</si>
  <si>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</si>
  <si>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</si>
  <si>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</si>
  <si>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</si>
  <si>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</si>
  <si>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</si>
  <si>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</si>
  <si>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</si>
  <si>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</si>
  <si>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</si>
  <si>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</si>
  <si>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</si>
  <si>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</si>
  <si>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</si>
  <si>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</si>
  <si>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</si>
  <si>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</si>
  <si>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</si>
  <si>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</si>
  <si>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</si>
  <si>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</si>
  <si>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</si>
  <si>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</si>
  <si>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</si>
  <si>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</si>
  <si>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</si>
  <si>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</si>
  <si>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</si>
  <si>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</si>
  <si>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</si>
  <si>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</si>
  <si>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</si>
  <si>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</si>
  <si>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</si>
  <si>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</si>
  <si>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</si>
  <si>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</si>
  <si>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</si>
  <si>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</si>
  <si>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</si>
  <si>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</si>
  <si>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</si>
  <si>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</si>
  <si>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</si>
  <si>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</si>
  <si>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</si>
  <si>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</si>
  <si>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</si>
  <si>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</si>
  <si>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</si>
  <si>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</si>
  <si>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</si>
  <si>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</si>
  <si>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</si>
  <si>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</si>
  <si>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</si>
  <si>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</si>
  <si>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</si>
  <si>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</si>
  <si>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</si>
  <si>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</si>
  <si>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</si>
  <si>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</si>
  <si>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</si>
  <si>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</si>
  <si>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</si>
  <si>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</si>
  <si>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</si>
  <si>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</si>
  <si>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</si>
  <si>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</si>
  <si>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</si>
  <si>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</si>
  <si>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</si>
  <si>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</si>
  <si>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</si>
  <si>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</si>
  <si>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</si>
  <si>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</si>
  <si>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</si>
  <si>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</si>
  <si>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</si>
  <si>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</si>
  <si>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</si>
  <si>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</si>
  <si>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</si>
  <si>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</si>
  <si>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</si>
  <si>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</si>
  <si>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</si>
  <si>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</si>
  <si>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</si>
  <si>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</si>
  <si>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</si>
  <si>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</si>
  <si>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</si>
  <si>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</si>
  <si>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</si>
  <si>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</si>
  <si>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</si>
  <si>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</si>
  <si>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</si>
  <si>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</si>
  <si>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</si>
  <si>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</si>
  <si>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</si>
  <si>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</si>
  <si>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</si>
  <si>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</si>
  <si>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</si>
  <si>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</si>
  <si>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</si>
  <si>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</si>
  <si>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</si>
  <si>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</si>
  <si>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</si>
  <si>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</si>
  <si>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</si>
  <si>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</si>
  <si>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</si>
  <si>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</si>
  <si>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</si>
  <si>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</si>
  <si>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</si>
  <si>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</si>
  <si>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</si>
  <si>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</si>
  <si>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</si>
  <si>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</si>
  <si>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</si>
  <si>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</si>
  <si>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</si>
  <si>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</si>
  <si>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</si>
  <si>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</si>
  <si>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</si>
  <si>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</si>
  <si>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</si>
  <si>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</si>
  <si>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</si>
  <si>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</si>
  <si>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</si>
  <si>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</si>
  <si>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</si>
  <si>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</si>
  <si>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</si>
  <si>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</si>
  <si>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</si>
  <si>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</si>
  <si>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</si>
  <si>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</si>
  <si>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</si>
  <si>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</si>
  <si>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</si>
  <si>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</si>
  <si>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</si>
  <si>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</si>
  <si>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</si>
  <si>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</si>
  <si>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</si>
  <si>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</si>
  <si>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</si>
  <si>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</si>
  <si>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</si>
  <si>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</si>
  <si>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</si>
  <si>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</si>
  <si>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</si>
  <si>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</si>
  <si>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</si>
  <si>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</si>
  <si>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</si>
  <si>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</si>
  <si>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</si>
  <si>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</si>
  <si>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</si>
  <si>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</si>
  <si>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</si>
  <si>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</si>
  <si>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</si>
  <si>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</si>
  <si>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</si>
  <si>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</si>
  <si>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</si>
  <si>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</si>
  <si>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</si>
  <si>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</si>
  <si>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</si>
  <si>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</si>
  <si>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</si>
  <si>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</si>
  <si>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</si>
  <si>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</si>
  <si>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</si>
  <si>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</si>
  <si>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</si>
  <si>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</si>
  <si>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</si>
  <si>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</si>
  <si>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</si>
  <si>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</si>
  <si>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</si>
  <si>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</si>
  <si>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</si>
  <si>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</si>
  <si>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</si>
  <si>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</si>
  <si>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</si>
  <si>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</si>
  <si>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</si>
  <si>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</si>
  <si>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</si>
  <si>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</si>
  <si>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</si>
  <si>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</si>
  <si>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</si>
  <si>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</si>
  <si>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</si>
  <si>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</si>
  <si>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</si>
  <si>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</si>
  <si>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</si>
  <si>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</si>
  <si>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</si>
  <si>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</si>
  <si>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</si>
  <si>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</si>
  <si>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</si>
  <si>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</si>
  <si>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</si>
  <si>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</si>
  <si>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</si>
  <si>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</si>
  <si>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</si>
  <si>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</si>
  <si>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</si>
  <si>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</si>
  <si>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</si>
  <si>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</si>
  <si>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</si>
  <si>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</si>
  <si>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</si>
  <si>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</si>
  <si>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</si>
  <si>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</si>
  <si>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</si>
  <si>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</si>
  <si>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</si>
  <si>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</si>
  <si>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</si>
  <si>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</si>
  <si>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</si>
  <si>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</si>
  <si>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</si>
  <si>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</si>
  <si>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</si>
  <si>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</si>
  <si>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</si>
  <si>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</si>
  <si>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</si>
  <si>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</si>
  <si>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</si>
  <si>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</si>
  <si>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</si>
  <si>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</si>
  <si>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</si>
  <si>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</si>
  <si>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</si>
  <si>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</si>
  <si>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</si>
  <si>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</si>
  <si>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</si>
  <si>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</si>
  <si>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</si>
  <si>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</si>
  <si>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</si>
  <si>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</si>
  <si>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</si>
  <si>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</si>
  <si>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</si>
  <si>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</si>
  <si>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</si>
  <si>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</si>
  <si>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</si>
  <si>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</si>
  <si>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</si>
  <si>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</si>
  <si>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</si>
  <si>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</si>
  <si>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</si>
  <si>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</si>
  <si>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</si>
  <si>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</si>
  <si>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</si>
  <si>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</si>
  <si>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</si>
  <si>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</si>
  <si>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</si>
  <si>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</si>
  <si>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</si>
  <si>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</si>
  <si>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</si>
  <si>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</si>
  <si>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</si>
  <si>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</si>
  <si>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</si>
  <si>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</si>
  <si>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</si>
  <si>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</si>
  <si>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</si>
  <si>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</si>
  <si>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</si>
  <si>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</si>
  <si>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</si>
  <si>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</si>
  <si>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</si>
  <si>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</si>
  <si>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</si>
  <si>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</si>
  <si>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</si>
  <si>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</si>
  <si>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</si>
  <si>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</si>
  <si>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</si>
  <si>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</si>
  <si>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</si>
  <si>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</si>
  <si>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</si>
  <si>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</si>
  <si>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</si>
  <si>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</si>
  <si>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</si>
  <si>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</si>
  <si>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</si>
  <si>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</si>
  <si>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</si>
  <si>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</si>
  <si>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</si>
  <si>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</si>
  <si>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</si>
  <si>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</si>
  <si>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</si>
  <si>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</si>
  <si>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</si>
  <si>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</si>
  <si>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</si>
  <si>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</si>
  <si>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</si>
  <si>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</si>
  <si>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</si>
  <si>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</si>
  <si>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</si>
  <si>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</si>
  <si>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</si>
  <si>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</si>
  <si>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</si>
  <si>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</si>
  <si>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</si>
  <si>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</si>
  <si>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</si>
  <si>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</si>
  <si>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</si>
  <si>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</si>
  <si>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</si>
  <si>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</si>
  <si>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</si>
  <si>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</si>
  <si>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</si>
  <si>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</si>
  <si>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</si>
  <si>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</si>
  <si>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</si>
  <si>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</si>
  <si>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</si>
  <si>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</si>
  <si>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</si>
  <si>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</si>
  <si>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</si>
  <si>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</si>
  <si>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</si>
  <si>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</si>
  <si>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</si>
  <si>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</si>
  <si>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</si>
  <si>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</si>
  <si>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</si>
  <si>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</si>
  <si>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</si>
  <si>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</si>
  <si>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</si>
  <si>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</si>
  <si>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</si>
  <si>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</si>
  <si>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</si>
  <si>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</si>
  <si>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</si>
  <si>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</si>
  <si>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</si>
  <si>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</si>
  <si>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</si>
  <si>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</si>
  <si>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</si>
  <si>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</si>
  <si>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</si>
  <si>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</si>
  <si>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</si>
  <si>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</si>
  <si>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</si>
  <si>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</si>
  <si>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</si>
  <si>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</si>
  <si>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</si>
  <si>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</si>
  <si>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</si>
  <si>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</si>
  <si>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</si>
  <si>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</si>
  <si>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</si>
  <si>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</si>
  <si>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</si>
  <si>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</si>
  <si>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</si>
  <si>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</si>
  <si>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</si>
  <si>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</si>
  <si>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</si>
  <si>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</si>
  <si>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</si>
  <si>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</si>
  <si>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</si>
  <si>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</si>
  <si>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</si>
  <si>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</si>
  <si>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</si>
  <si>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</si>
  <si>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</si>
  <si>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</si>
  <si>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</si>
  <si>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</si>
  <si>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</si>
  <si>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</si>
  <si>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</si>
  <si>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</si>
  <si>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08/02</t>
  </si>
  <si>
    <t>08/22</t>
  </si>
  <si>
    <t>Gilford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</si>
</sst>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191</v>
      </c>
      <c r="C2" s="21">
        <v>191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1521029.79</v>
      </c>
      <c r="G9" s="18">
        <v>109524.54</v>
      </c>
      <c r="H9" s="18">
        <v>86405.55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206329.11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86405.55</v>
      </c>
      <c r="G13" s="18">
        <v>9670.0499999999993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1370445.16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1650.28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2977880.5</v>
      </c>
      <c r="G19" s="41">
        <f>SUM(G9:G18)</f>
        <v>120844.87</v>
      </c>
      <c r="H19" s="41">
        <f>SUM(H9:H18)</f>
        <v>86405.55</v>
      </c>
      <c r="I19" s="41">
        <f>SUM(I9:I18)</f>
        <v>0</v>
      </c>
      <c r="J19" s="41">
        <f>SUM(J9:J18)</f>
        <v>206329.11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4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108375.56</v>
      </c>
      <c r="G23" s="18"/>
      <c r="H23" s="18">
        <v>86405.55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1080125.22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5070</v>
      </c>
      <c r="G30" s="18">
        <v>13145.67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SUM(F23:F31)</f>
        <v>1193570.78</v>
      </c>
      <c r="G32" s="41">
        <f>SUM(G22:G31)</f>
        <v>13145.67</v>
      </c>
      <c r="H32" s="41">
        <f>SUM(H22:H31)</f>
        <v>86405.55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206329.11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466280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107699.2</v>
      </c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1318029.72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1784309.72</v>
      </c>
      <c r="G51" s="41">
        <f>SUM(G35:G50)</f>
        <v>107699.2</v>
      </c>
      <c r="H51" s="41">
        <f>SUM(H35:H50)</f>
        <v>0</v>
      </c>
      <c r="I51" s="41">
        <f>SUM(I35:I50)</f>
        <v>0</v>
      </c>
      <c r="J51" s="41">
        <f>SUM(J35:J50)</f>
        <v>206329.11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2977880.5</v>
      </c>
      <c r="G52" s="41">
        <f>G51+G32</f>
        <v>120844.87</v>
      </c>
      <c r="H52" s="41">
        <f>H51+H32</f>
        <v>86405.55</v>
      </c>
      <c r="I52" s="41">
        <f>I51+I32</f>
        <v>0</v>
      </c>
      <c r="J52" s="41">
        <f>J51+J32</f>
        <v>206329.11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14683722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14683722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99439.47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2837189.11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2936628.58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2464.73</v>
      </c>
      <c r="G96" s="18"/>
      <c r="H96" s="18"/>
      <c r="I96" s="18"/>
      <c r="J96" s="18">
        <v>479.63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283766.88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17559.5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v>16677.02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508697.5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528721.73</v>
      </c>
      <c r="G111" s="41">
        <f>SUM(G96:G110)</f>
        <v>283766.88</v>
      </c>
      <c r="H111" s="41">
        <f>SUM(H96:H110)</f>
        <v>0</v>
      </c>
      <c r="I111" s="41">
        <f>SUM(I96:I110)</f>
        <v>0</v>
      </c>
      <c r="J111" s="41">
        <f>SUM(J96:J110)</f>
        <v>17156.650000000001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18149072.309999999</v>
      </c>
      <c r="G112" s="41">
        <f>G60+G111</f>
        <v>283766.88</v>
      </c>
      <c r="H112" s="41">
        <f>H60+H79+H94+H111</f>
        <v>0</v>
      </c>
      <c r="I112" s="41">
        <f>I60+I111</f>
        <v>0</v>
      </c>
      <c r="J112" s="41">
        <f>J60+J111</f>
        <v>17156.650000000001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637608.07999999996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3967471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4605079.08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314593.8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113139.97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9716.5400000000009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6616.21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437450.31</v>
      </c>
      <c r="G136" s="41">
        <f>SUM(G123:G135)</f>
        <v>6616.21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5042529.3899999997</v>
      </c>
      <c r="G140" s="41">
        <f>G121+SUM(G136:G137)</f>
        <v>6616.21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235597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168366.67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59988.56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189306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44924.22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44924.22</v>
      </c>
      <c r="G162" s="41">
        <f>SUM(G150:G161)</f>
        <v>189306</v>
      </c>
      <c r="H162" s="41">
        <f>SUM(H150:H161)</f>
        <v>463952.23000000004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44924.22</v>
      </c>
      <c r="G169" s="41">
        <f>G147+G162+SUM(G163:G168)</f>
        <v>189306</v>
      </c>
      <c r="H169" s="41">
        <f>H147+H162+SUM(H163:H168)</f>
        <v>463952.23000000004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23236525.919999998</v>
      </c>
      <c r="G193" s="47">
        <f>G112+G140+G169+G192</f>
        <v>479689.09</v>
      </c>
      <c r="H193" s="47">
        <f>H112+H140+H169+H192</f>
        <v>463952.23000000004</v>
      </c>
      <c r="I193" s="47">
        <f>I112+I140+I169+I192</f>
        <v>0</v>
      </c>
      <c r="J193" s="47">
        <f>J112+J140+J192</f>
        <v>17156.650000000001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1695167.06</v>
      </c>
      <c r="G197" s="18">
        <v>870057.93</v>
      </c>
      <c r="H197" s="18">
        <v>13531.15</v>
      </c>
      <c r="I197" s="18">
        <v>81370.06</v>
      </c>
      <c r="J197" s="18">
        <v>4445.8999999999996</v>
      </c>
      <c r="K197" s="18"/>
      <c r="L197" s="19">
        <f>SUM(F197:K197)</f>
        <v>2664572.1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598947.51</v>
      </c>
      <c r="G198" s="18">
        <v>698347.26</v>
      </c>
      <c r="H198" s="18">
        <v>189002.2</v>
      </c>
      <c r="I198" s="18">
        <v>1894.92</v>
      </c>
      <c r="J198" s="18">
        <v>3479.3</v>
      </c>
      <c r="K198" s="18"/>
      <c r="L198" s="19">
        <f>SUM(F198:K198)</f>
        <v>1491671.19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79789.08</v>
      </c>
      <c r="G200" s="18">
        <v>41983.25</v>
      </c>
      <c r="H200" s="18">
        <v>13034.6</v>
      </c>
      <c r="I200" s="18"/>
      <c r="J200" s="18"/>
      <c r="K200" s="18"/>
      <c r="L200" s="19">
        <f>SUM(F200:K200)</f>
        <v>134806.93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96229.18</v>
      </c>
      <c r="G202" s="18">
        <v>66921.34</v>
      </c>
      <c r="H202" s="18">
        <v>85457.5</v>
      </c>
      <c r="I202" s="18">
        <v>2236.5500000000002</v>
      </c>
      <c r="J202" s="18">
        <v>0</v>
      </c>
      <c r="K202" s="18">
        <v>0</v>
      </c>
      <c r="L202" s="19">
        <f t="shared" ref="L202:L208" si="0">SUM(F202:K202)</f>
        <v>250844.56999999998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124341.2</v>
      </c>
      <c r="G203" s="18">
        <v>58318.02</v>
      </c>
      <c r="H203" s="18">
        <v>36518.35</v>
      </c>
      <c r="I203" s="18">
        <v>43837.72</v>
      </c>
      <c r="J203" s="18">
        <v>63361.51</v>
      </c>
      <c r="K203" s="18"/>
      <c r="L203" s="19">
        <f t="shared" si="0"/>
        <v>326376.80000000005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67090.850000000006</v>
      </c>
      <c r="G204" s="18">
        <v>44692.74</v>
      </c>
      <c r="H204" s="18">
        <v>17729.52</v>
      </c>
      <c r="I204" s="18"/>
      <c r="J204" s="18">
        <v>8582.41</v>
      </c>
      <c r="K204" s="18"/>
      <c r="L204" s="19">
        <f t="shared" si="0"/>
        <v>138095.51999999999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195309.26</v>
      </c>
      <c r="G205" s="18">
        <v>98652.76</v>
      </c>
      <c r="H205" s="18">
        <v>8836.77</v>
      </c>
      <c r="I205" s="18">
        <v>982.76</v>
      </c>
      <c r="J205" s="18"/>
      <c r="K205" s="18">
        <v>962.6</v>
      </c>
      <c r="L205" s="19">
        <f t="shared" si="0"/>
        <v>304744.15000000002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53408.37</v>
      </c>
      <c r="G206" s="18">
        <v>44961.35</v>
      </c>
      <c r="H206" s="18">
        <v>40055.980000000003</v>
      </c>
      <c r="I206" s="18">
        <v>1856.51</v>
      </c>
      <c r="J206" s="18"/>
      <c r="K206" s="18">
        <v>895.17</v>
      </c>
      <c r="L206" s="19">
        <f t="shared" si="0"/>
        <v>141177.38000000003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210304.3</v>
      </c>
      <c r="G207" s="18">
        <v>159243.78</v>
      </c>
      <c r="H207" s="18">
        <v>267440.01</v>
      </c>
      <c r="I207" s="18">
        <v>160510.79999999999</v>
      </c>
      <c r="J207" s="18"/>
      <c r="K207" s="18">
        <v>7211.26</v>
      </c>
      <c r="L207" s="19">
        <f t="shared" si="0"/>
        <v>804710.14999999991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187651.38</v>
      </c>
      <c r="I208" s="18"/>
      <c r="J208" s="18"/>
      <c r="K208" s="18"/>
      <c r="L208" s="19">
        <f t="shared" si="0"/>
        <v>187651.38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3120586.8100000005</v>
      </c>
      <c r="G211" s="41">
        <f t="shared" si="1"/>
        <v>2083178.4300000002</v>
      </c>
      <c r="H211" s="41">
        <f t="shared" si="1"/>
        <v>859257.46000000008</v>
      </c>
      <c r="I211" s="41">
        <f t="shared" si="1"/>
        <v>292689.31999999995</v>
      </c>
      <c r="J211" s="41">
        <f t="shared" si="1"/>
        <v>79869.12000000001</v>
      </c>
      <c r="K211" s="41">
        <f t="shared" si="1"/>
        <v>9069.0300000000007</v>
      </c>
      <c r="L211" s="41">
        <f t="shared" si="1"/>
        <v>6444650.169999999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1611811.78</v>
      </c>
      <c r="G215" s="18">
        <v>908634.62</v>
      </c>
      <c r="H215" s="18">
        <v>20210.5</v>
      </c>
      <c r="I215" s="18">
        <v>76048.28</v>
      </c>
      <c r="J215" s="18">
        <v>10994.37</v>
      </c>
      <c r="K215" s="18"/>
      <c r="L215" s="19">
        <f>SUM(F215:K215)</f>
        <v>2627699.5499999998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629239.18999999994</v>
      </c>
      <c r="G216" s="18">
        <v>624037.81000000006</v>
      </c>
      <c r="H216" s="18">
        <v>243782.51</v>
      </c>
      <c r="I216" s="18">
        <v>1039.8900000000001</v>
      </c>
      <c r="J216" s="18">
        <v>1808.64</v>
      </c>
      <c r="K216" s="18"/>
      <c r="L216" s="19">
        <f>SUM(F216:K216)</f>
        <v>1499908.0399999998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55437.09</v>
      </c>
      <c r="G218" s="18">
        <v>31658.78</v>
      </c>
      <c r="H218" s="18">
        <v>16575</v>
      </c>
      <c r="I218" s="18">
        <v>14203.08</v>
      </c>
      <c r="J218" s="18">
        <v>478.37</v>
      </c>
      <c r="K218" s="18"/>
      <c r="L218" s="19">
        <f>SUM(F218:K218)</f>
        <v>118352.31999999999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143531.41</v>
      </c>
      <c r="G220" s="18">
        <v>97682.94</v>
      </c>
      <c r="H220" s="18">
        <v>58547.5</v>
      </c>
      <c r="I220" s="18">
        <v>2884.04</v>
      </c>
      <c r="J220" s="18">
        <v>0</v>
      </c>
      <c r="K220" s="18"/>
      <c r="L220" s="19">
        <f t="shared" ref="L220:L226" si="2">SUM(F220:K220)</f>
        <v>302645.88999999996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134662.35999999999</v>
      </c>
      <c r="G221" s="18">
        <v>73983.31</v>
      </c>
      <c r="H221" s="18">
        <v>36504.160000000003</v>
      </c>
      <c r="I221" s="18">
        <v>51241.91</v>
      </c>
      <c r="J221" s="18">
        <v>42401.51</v>
      </c>
      <c r="K221" s="18"/>
      <c r="L221" s="19">
        <f t="shared" si="2"/>
        <v>338793.25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67090.850000000006</v>
      </c>
      <c r="G222" s="18">
        <v>39596.269999999997</v>
      </c>
      <c r="H222" s="18">
        <v>17729.52</v>
      </c>
      <c r="I222" s="18"/>
      <c r="J222" s="18">
        <v>8582.41</v>
      </c>
      <c r="K222" s="18"/>
      <c r="L222" s="19">
        <f t="shared" si="2"/>
        <v>132999.04999999999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318538.63</v>
      </c>
      <c r="G223" s="18">
        <v>129072.49</v>
      </c>
      <c r="H223" s="18">
        <v>8511.8799999999992</v>
      </c>
      <c r="I223" s="18">
        <v>500</v>
      </c>
      <c r="J223" s="18"/>
      <c r="K223" s="18">
        <v>3330.12</v>
      </c>
      <c r="L223" s="19">
        <f t="shared" si="2"/>
        <v>459953.12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53408.37</v>
      </c>
      <c r="G224" s="18">
        <v>41394.79</v>
      </c>
      <c r="H224" s="18">
        <v>40055.980000000003</v>
      </c>
      <c r="I224" s="18">
        <v>1856.51</v>
      </c>
      <c r="J224" s="18"/>
      <c r="K224" s="18">
        <v>895.17</v>
      </c>
      <c r="L224" s="19">
        <f t="shared" si="2"/>
        <v>137610.82000000004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201745.56</v>
      </c>
      <c r="G225" s="18">
        <v>147201.68</v>
      </c>
      <c r="H225" s="18">
        <v>74043.509999999995</v>
      </c>
      <c r="I225" s="18">
        <v>235071.11</v>
      </c>
      <c r="J225" s="18">
        <v>6842.75</v>
      </c>
      <c r="K225" s="18"/>
      <c r="L225" s="19">
        <f t="shared" si="2"/>
        <v>664904.61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199437</v>
      </c>
      <c r="I226" s="18"/>
      <c r="J226" s="18"/>
      <c r="K226" s="18"/>
      <c r="L226" s="19">
        <f t="shared" si="2"/>
        <v>199437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3215465.2399999998</v>
      </c>
      <c r="G229" s="41">
        <f>SUM(G215:G228)</f>
        <v>2093262.6900000002</v>
      </c>
      <c r="H229" s="41">
        <f>SUM(H215:H228)</f>
        <v>715397.56</v>
      </c>
      <c r="I229" s="41">
        <f>SUM(I215:I228)</f>
        <v>382844.82</v>
      </c>
      <c r="J229" s="41">
        <f>SUM(J215:J228)</f>
        <v>71108.05</v>
      </c>
      <c r="K229" s="41">
        <f t="shared" si="3"/>
        <v>4225.29</v>
      </c>
      <c r="L229" s="41">
        <f t="shared" si="3"/>
        <v>6482303.6500000004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2693948.43</v>
      </c>
      <c r="G233" s="18">
        <v>1408317.58</v>
      </c>
      <c r="H233" s="18">
        <v>35680.78</v>
      </c>
      <c r="I233" s="18">
        <v>86837.95</v>
      </c>
      <c r="J233" s="18">
        <v>25734.49</v>
      </c>
      <c r="K233" s="18"/>
      <c r="L233" s="19">
        <f>SUM(F233:K233)</f>
        <v>4250519.2300000004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483697.36</v>
      </c>
      <c r="G234" s="18">
        <v>299947.99</v>
      </c>
      <c r="H234" s="18">
        <v>381665.21</v>
      </c>
      <c r="I234" s="18">
        <v>2072.87</v>
      </c>
      <c r="J234" s="18">
        <v>483.75</v>
      </c>
      <c r="K234" s="18"/>
      <c r="L234" s="19">
        <f>SUM(F234:K234)</f>
        <v>1167867.1800000002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269337.43</v>
      </c>
      <c r="I235" s="18"/>
      <c r="J235" s="18"/>
      <c r="K235" s="18"/>
      <c r="L235" s="19">
        <f>SUM(F235:K235)</f>
        <v>269337.43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143145.38</v>
      </c>
      <c r="G236" s="18">
        <v>84609.96</v>
      </c>
      <c r="H236" s="18">
        <v>83942</v>
      </c>
      <c r="I236" s="18">
        <v>44945.99</v>
      </c>
      <c r="J236" s="18">
        <v>949.99</v>
      </c>
      <c r="K236" s="18"/>
      <c r="L236" s="19">
        <f>SUM(F236:K236)</f>
        <v>357593.32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300785.52</v>
      </c>
      <c r="G238" s="18">
        <v>150584.35999999999</v>
      </c>
      <c r="H238" s="18">
        <v>104490</v>
      </c>
      <c r="I238" s="18">
        <v>3620.6</v>
      </c>
      <c r="J238" s="18">
        <v>380</v>
      </c>
      <c r="K238" s="18"/>
      <c r="L238" s="19">
        <f t="shared" ref="L238:L244" si="4">SUM(F238:K238)</f>
        <v>559860.47999999998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140132.24</v>
      </c>
      <c r="G239" s="18">
        <v>50349.16</v>
      </c>
      <c r="H239" s="18">
        <v>39467.47</v>
      </c>
      <c r="I239" s="18">
        <v>55257.61</v>
      </c>
      <c r="J239" s="18">
        <v>63608.87</v>
      </c>
      <c r="K239" s="18"/>
      <c r="L239" s="19">
        <f t="shared" si="4"/>
        <v>348815.35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67090.850000000006</v>
      </c>
      <c r="G240" s="18">
        <v>32044.76</v>
      </c>
      <c r="H240" s="18">
        <v>17729.52</v>
      </c>
      <c r="I240" s="18"/>
      <c r="J240" s="18">
        <v>8582.4</v>
      </c>
      <c r="K240" s="18"/>
      <c r="L240" s="19">
        <f t="shared" si="4"/>
        <v>125447.53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451602.76</v>
      </c>
      <c r="G241" s="18">
        <v>113726.47</v>
      </c>
      <c r="H241" s="18">
        <v>27447.08</v>
      </c>
      <c r="I241" s="18"/>
      <c r="J241" s="18">
        <v>1634.43</v>
      </c>
      <c r="K241" s="18">
        <v>21823.200000000001</v>
      </c>
      <c r="L241" s="19">
        <f t="shared" si="4"/>
        <v>616233.93999999994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83408.36</v>
      </c>
      <c r="G242" s="18">
        <v>13843.97</v>
      </c>
      <c r="H242" s="18">
        <v>40236.269999999997</v>
      </c>
      <c r="I242" s="18">
        <v>1856.19</v>
      </c>
      <c r="J242" s="18"/>
      <c r="K242" s="18">
        <v>985.16</v>
      </c>
      <c r="L242" s="19">
        <f t="shared" si="4"/>
        <v>140329.95000000001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347606.41</v>
      </c>
      <c r="G243" s="18">
        <v>285762.03000000003</v>
      </c>
      <c r="H243" s="18">
        <v>132329.74</v>
      </c>
      <c r="I243" s="18">
        <v>251103.91</v>
      </c>
      <c r="J243" s="18"/>
      <c r="K243" s="18">
        <v>6892.19</v>
      </c>
      <c r="L243" s="19">
        <f t="shared" si="4"/>
        <v>1023694.2799999999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241277.89</v>
      </c>
      <c r="I244" s="18"/>
      <c r="J244" s="18"/>
      <c r="K244" s="18"/>
      <c r="L244" s="19">
        <f t="shared" si="4"/>
        <v>241277.89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4711417.3100000005</v>
      </c>
      <c r="G247" s="41">
        <f t="shared" si="5"/>
        <v>2439186.2800000003</v>
      </c>
      <c r="H247" s="41">
        <f t="shared" si="5"/>
        <v>1373603.3900000001</v>
      </c>
      <c r="I247" s="41">
        <f t="shared" si="5"/>
        <v>445695.12</v>
      </c>
      <c r="J247" s="41">
        <f t="shared" si="5"/>
        <v>101373.93</v>
      </c>
      <c r="K247" s="41">
        <f t="shared" si="5"/>
        <v>29700.55</v>
      </c>
      <c r="L247" s="41">
        <f t="shared" si="5"/>
        <v>9100976.5800000019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11047469.360000001</v>
      </c>
      <c r="G257" s="41">
        <f t="shared" si="8"/>
        <v>6615627.4000000004</v>
      </c>
      <c r="H257" s="41">
        <f t="shared" si="8"/>
        <v>2948258.41</v>
      </c>
      <c r="I257" s="41">
        <f t="shared" si="8"/>
        <v>1121229.2599999998</v>
      </c>
      <c r="J257" s="41">
        <f t="shared" si="8"/>
        <v>252351.1</v>
      </c>
      <c r="K257" s="41">
        <f t="shared" si="8"/>
        <v>42994.869999999995</v>
      </c>
      <c r="L257" s="41">
        <f t="shared" si="8"/>
        <v>22027930.400000002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850000</v>
      </c>
      <c r="L260" s="19">
        <f>SUM(F260:K260)</f>
        <v>850000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275529</v>
      </c>
      <c r="L261" s="19">
        <f>SUM(F261:K261)</f>
        <v>275529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1125529</v>
      </c>
      <c r="L270" s="41">
        <f t="shared" si="9"/>
        <v>1125529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11047469.360000001</v>
      </c>
      <c r="G271" s="42">
        <f t="shared" si="11"/>
        <v>6615627.4000000004</v>
      </c>
      <c r="H271" s="42">
        <f t="shared" si="11"/>
        <v>2948258.41</v>
      </c>
      <c r="I271" s="42">
        <f t="shared" si="11"/>
        <v>1121229.2599999998</v>
      </c>
      <c r="J271" s="42">
        <f t="shared" si="11"/>
        <v>252351.1</v>
      </c>
      <c r="K271" s="42">
        <f t="shared" si="11"/>
        <v>1168523.8700000001</v>
      </c>
      <c r="L271" s="42">
        <f t="shared" si="11"/>
        <v>23153459.400000002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151706.9</v>
      </c>
      <c r="G276" s="18"/>
      <c r="H276" s="18">
        <v>2386.31</v>
      </c>
      <c r="I276" s="18">
        <v>8027.22</v>
      </c>
      <c r="J276" s="18"/>
      <c r="K276" s="18"/>
      <c r="L276" s="19">
        <f>SUM(F276:K276)</f>
        <v>162120.43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32219.34</v>
      </c>
      <c r="G277" s="18">
        <v>7023.34</v>
      </c>
      <c r="H277" s="18">
        <v>14631.34</v>
      </c>
      <c r="I277" s="18"/>
      <c r="J277" s="18"/>
      <c r="K277" s="18"/>
      <c r="L277" s="19">
        <f>SUM(F277:K277)</f>
        <v>53874.020000000004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24658.34</v>
      </c>
      <c r="I281" s="18"/>
      <c r="J281" s="18"/>
      <c r="K281" s="18"/>
      <c r="L281" s="19">
        <f t="shared" ref="L281:L287" si="12">SUM(F281:K281)</f>
        <v>24658.34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3696.25</v>
      </c>
      <c r="G282" s="18"/>
      <c r="H282" s="18">
        <v>9750.34</v>
      </c>
      <c r="I282" s="18">
        <v>4202.95</v>
      </c>
      <c r="J282" s="18"/>
      <c r="K282" s="18">
        <v>479.4</v>
      </c>
      <c r="L282" s="19">
        <f t="shared" si="12"/>
        <v>18128.940000000002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8113.5</v>
      </c>
      <c r="I287" s="18"/>
      <c r="J287" s="18"/>
      <c r="K287" s="18"/>
      <c r="L287" s="19">
        <f t="shared" si="12"/>
        <v>8113.5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187622.49</v>
      </c>
      <c r="G290" s="42">
        <f t="shared" si="13"/>
        <v>7023.34</v>
      </c>
      <c r="H290" s="42">
        <f t="shared" si="13"/>
        <v>59539.83</v>
      </c>
      <c r="I290" s="42">
        <f t="shared" si="13"/>
        <v>12230.17</v>
      </c>
      <c r="J290" s="42">
        <f t="shared" si="13"/>
        <v>0</v>
      </c>
      <c r="K290" s="42">
        <f t="shared" si="13"/>
        <v>479.4</v>
      </c>
      <c r="L290" s="41">
        <f t="shared" si="13"/>
        <v>266895.23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2346.66</v>
      </c>
      <c r="J295" s="18"/>
      <c r="K295" s="18"/>
      <c r="L295" s="19">
        <f>SUM(F295:K295)</f>
        <v>2346.66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32219.34</v>
      </c>
      <c r="G296" s="18">
        <v>7023.34</v>
      </c>
      <c r="H296" s="18">
        <v>14631.34</v>
      </c>
      <c r="I296" s="18"/>
      <c r="J296" s="18"/>
      <c r="K296" s="18"/>
      <c r="L296" s="19">
        <f>SUM(F296:K296)</f>
        <v>53874.020000000004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24658.34</v>
      </c>
      <c r="I300" s="18"/>
      <c r="J300" s="18"/>
      <c r="K300" s="18"/>
      <c r="L300" s="19">
        <f t="shared" ref="L300:L306" si="14">SUM(F300:K300)</f>
        <v>24658.34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3696.25</v>
      </c>
      <c r="G301" s="18"/>
      <c r="H301" s="18">
        <v>9750.34</v>
      </c>
      <c r="I301" s="18">
        <v>4202.95</v>
      </c>
      <c r="J301" s="18"/>
      <c r="K301" s="18"/>
      <c r="L301" s="19">
        <f t="shared" si="14"/>
        <v>17649.54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35915.589999999997</v>
      </c>
      <c r="G309" s="42">
        <f t="shared" si="15"/>
        <v>7023.34</v>
      </c>
      <c r="H309" s="42">
        <f t="shared" si="15"/>
        <v>49040.020000000004</v>
      </c>
      <c r="I309" s="42">
        <f t="shared" si="15"/>
        <v>6549.61</v>
      </c>
      <c r="J309" s="42">
        <f t="shared" si="15"/>
        <v>0</v>
      </c>
      <c r="K309" s="42">
        <f t="shared" si="15"/>
        <v>0</v>
      </c>
      <c r="L309" s="41">
        <f t="shared" si="15"/>
        <v>98528.56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2346.66</v>
      </c>
      <c r="J314" s="18"/>
      <c r="K314" s="18"/>
      <c r="L314" s="19">
        <f>SUM(F314:K314)</f>
        <v>2346.66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32219.32</v>
      </c>
      <c r="G315" s="18">
        <v>7023.32</v>
      </c>
      <c r="H315" s="18">
        <v>14631.32</v>
      </c>
      <c r="I315" s="18"/>
      <c r="J315" s="18"/>
      <c r="K315" s="18"/>
      <c r="L315" s="19">
        <f>SUM(F315:K315)</f>
        <v>53873.96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24658.32</v>
      </c>
      <c r="I319" s="18"/>
      <c r="J319" s="18"/>
      <c r="K319" s="18"/>
      <c r="L319" s="19">
        <f t="shared" ref="L319:L325" si="16">SUM(F319:K319)</f>
        <v>24658.32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3696.23</v>
      </c>
      <c r="G320" s="18"/>
      <c r="H320" s="18">
        <v>9750.32</v>
      </c>
      <c r="I320" s="18">
        <v>4202.95</v>
      </c>
      <c r="J320" s="18"/>
      <c r="K320" s="18"/>
      <c r="L320" s="19">
        <f t="shared" si="16"/>
        <v>17649.5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35915.550000000003</v>
      </c>
      <c r="G328" s="42">
        <f t="shared" si="17"/>
        <v>7023.32</v>
      </c>
      <c r="H328" s="42">
        <f t="shared" si="17"/>
        <v>49039.96</v>
      </c>
      <c r="I328" s="42">
        <f t="shared" si="17"/>
        <v>6549.61</v>
      </c>
      <c r="J328" s="42">
        <f t="shared" si="17"/>
        <v>0</v>
      </c>
      <c r="K328" s="42">
        <f t="shared" si="17"/>
        <v>0</v>
      </c>
      <c r="L328" s="41">
        <f t="shared" si="17"/>
        <v>98528.44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259453.63</v>
      </c>
      <c r="G338" s="41">
        <f t="shared" si="20"/>
        <v>21070</v>
      </c>
      <c r="H338" s="41">
        <f t="shared" si="20"/>
        <v>157619.81</v>
      </c>
      <c r="I338" s="41">
        <f t="shared" si="20"/>
        <v>25329.39</v>
      </c>
      <c r="J338" s="41">
        <f t="shared" si="20"/>
        <v>0</v>
      </c>
      <c r="K338" s="41">
        <f t="shared" si="20"/>
        <v>479.4</v>
      </c>
      <c r="L338" s="41">
        <f t="shared" si="20"/>
        <v>463952.23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259453.63</v>
      </c>
      <c r="G352" s="41">
        <f>G338</f>
        <v>21070</v>
      </c>
      <c r="H352" s="41">
        <f>H338</f>
        <v>157619.81</v>
      </c>
      <c r="I352" s="41">
        <f>I338</f>
        <v>25329.39</v>
      </c>
      <c r="J352" s="41">
        <f>J338</f>
        <v>0</v>
      </c>
      <c r="K352" s="47">
        <f>K338+K351</f>
        <v>479.4</v>
      </c>
      <c r="L352" s="41">
        <f>L338+L351</f>
        <v>463952.23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66083.31</v>
      </c>
      <c r="G358" s="18">
        <v>12178.67</v>
      </c>
      <c r="H358" s="18">
        <v>1180.3499999999999</v>
      </c>
      <c r="I358" s="18">
        <v>54491.43</v>
      </c>
      <c r="J358" s="18"/>
      <c r="K358" s="18"/>
      <c r="L358" s="13">
        <f>SUM(F358:K358)</f>
        <v>133933.76000000001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71100.929999999993</v>
      </c>
      <c r="G359" s="18">
        <v>12178.67</v>
      </c>
      <c r="H359" s="18">
        <v>756.73</v>
      </c>
      <c r="I359" s="18">
        <v>98390.9</v>
      </c>
      <c r="J359" s="18"/>
      <c r="K359" s="18"/>
      <c r="L359" s="19">
        <f>SUM(F359:K359)</f>
        <v>182427.22999999998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71100.91</v>
      </c>
      <c r="G360" s="18">
        <v>12205.66</v>
      </c>
      <c r="H360" s="18">
        <v>756.72</v>
      </c>
      <c r="I360" s="18">
        <v>98390.9</v>
      </c>
      <c r="J360" s="18"/>
      <c r="K360" s="18"/>
      <c r="L360" s="19">
        <f>SUM(F360:K360)</f>
        <v>182454.19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208285.15</v>
      </c>
      <c r="G362" s="47">
        <f t="shared" si="22"/>
        <v>36563</v>
      </c>
      <c r="H362" s="47">
        <f t="shared" si="22"/>
        <v>2693.8</v>
      </c>
      <c r="I362" s="47">
        <f t="shared" si="22"/>
        <v>251273.22999999998</v>
      </c>
      <c r="J362" s="47">
        <f t="shared" si="22"/>
        <v>0</v>
      </c>
      <c r="K362" s="47">
        <f t="shared" si="22"/>
        <v>0</v>
      </c>
      <c r="L362" s="47">
        <f t="shared" si="22"/>
        <v>498815.18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47306.58</v>
      </c>
      <c r="G367" s="18">
        <v>71452.98</v>
      </c>
      <c r="H367" s="18">
        <v>71452.98</v>
      </c>
      <c r="I367" s="56">
        <f>SUM(F367:H367)</f>
        <v>190212.53999999998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7184.85</v>
      </c>
      <c r="G368" s="63">
        <v>26937.919999999998</v>
      </c>
      <c r="H368" s="63">
        <v>26937.919999999998</v>
      </c>
      <c r="I368" s="56">
        <f>SUM(F368:H368)</f>
        <v>61060.689999999995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54491.43</v>
      </c>
      <c r="G369" s="47">
        <f>SUM(G367:G368)</f>
        <v>98390.9</v>
      </c>
      <c r="H369" s="47">
        <f>SUM(H367:H368)</f>
        <v>98390.9</v>
      </c>
      <c r="I369" s="47">
        <f>SUM(I367:I368)</f>
        <v>251273.22999999998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476.06</v>
      </c>
      <c r="I397" s="18"/>
      <c r="J397" s="24" t="s">
        <v>289</v>
      </c>
      <c r="K397" s="24" t="s">
        <v>289</v>
      </c>
      <c r="L397" s="56">
        <f t="shared" si="26"/>
        <v>476.06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3.57</v>
      </c>
      <c r="I400" s="18">
        <v>16677.02</v>
      </c>
      <c r="J400" s="24" t="s">
        <v>289</v>
      </c>
      <c r="K400" s="24" t="s">
        <v>289</v>
      </c>
      <c r="L400" s="56">
        <f t="shared" si="26"/>
        <v>16680.59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479.63</v>
      </c>
      <c r="I401" s="47">
        <f>SUM(I395:I400)</f>
        <v>16677.02</v>
      </c>
      <c r="J401" s="45" t="s">
        <v>289</v>
      </c>
      <c r="K401" s="45" t="s">
        <v>289</v>
      </c>
      <c r="L401" s="47">
        <f>SUM(L395:L400)</f>
        <v>17156.650000000001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479.63</v>
      </c>
      <c r="I408" s="47">
        <f>I393+I401+I407</f>
        <v>16677.02</v>
      </c>
      <c r="J408" s="24" t="s">
        <v>289</v>
      </c>
      <c r="K408" s="24" t="s">
        <v>289</v>
      </c>
      <c r="L408" s="47">
        <f>L393+L401+L407</f>
        <v>17156.650000000001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17156.650000000001</v>
      </c>
      <c r="G441" s="18">
        <v>189172.46</v>
      </c>
      <c r="H441" s="18"/>
      <c r="I441" s="56">
        <f t="shared" si="33"/>
        <v>206329.11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17156.650000000001</v>
      </c>
      <c r="G446" s="13">
        <f>SUM(G439:G445)</f>
        <v>189172.46</v>
      </c>
      <c r="H446" s="13">
        <f>SUM(H439:H445)</f>
        <v>0</v>
      </c>
      <c r="I446" s="13">
        <f>SUM(I439:I445)</f>
        <v>206329.11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17156.650000000001</v>
      </c>
      <c r="G457" s="18">
        <v>189172.46</v>
      </c>
      <c r="H457" s="18"/>
      <c r="I457" s="56">
        <f t="shared" si="34"/>
        <v>206329.11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17156.650000000001</v>
      </c>
      <c r="G460" s="83">
        <f>SUM(G454:G459)</f>
        <v>189172.46</v>
      </c>
      <c r="H460" s="83">
        <f>SUM(H454:H459)</f>
        <v>0</v>
      </c>
      <c r="I460" s="83">
        <f>SUM(I454:I459)</f>
        <v>206329.11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17156.650000000001</v>
      </c>
      <c r="G461" s="42">
        <f>G452+G460</f>
        <v>189172.46</v>
      </c>
      <c r="H461" s="42">
        <f>H452+H460</f>
        <v>0</v>
      </c>
      <c r="I461" s="42">
        <f>I452+I460</f>
        <v>206329.11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1701243.2</v>
      </c>
      <c r="G465" s="18">
        <v>126825.29</v>
      </c>
      <c r="H465" s="18">
        <v>0</v>
      </c>
      <c r="I465" s="18"/>
      <c r="J465" s="18">
        <v>189172.46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23236525.920000002</v>
      </c>
      <c r="G468" s="18">
        <v>479689.09</v>
      </c>
      <c r="H468" s="18">
        <v>463952.23</v>
      </c>
      <c r="I468" s="18"/>
      <c r="J468" s="18">
        <v>17156.650000000001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23236525.920000002</v>
      </c>
      <c r="G470" s="53">
        <f>SUM(G468:G469)</f>
        <v>479689.09</v>
      </c>
      <c r="H470" s="53">
        <f>SUM(H468:H469)</f>
        <v>463952.23</v>
      </c>
      <c r="I470" s="53">
        <f>SUM(I468:I469)</f>
        <v>0</v>
      </c>
      <c r="J470" s="53">
        <f>SUM(J468:J469)</f>
        <v>17156.650000000001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23153459.399999999</v>
      </c>
      <c r="G472" s="18">
        <v>498815.18</v>
      </c>
      <c r="H472" s="18">
        <v>463952.23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23153459.399999999</v>
      </c>
      <c r="G474" s="53">
        <f>SUM(G472:G473)</f>
        <v>498815.18</v>
      </c>
      <c r="H474" s="53">
        <f>SUM(H472:H473)</f>
        <v>463952.23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1784309.7200000025</v>
      </c>
      <c r="G476" s="53">
        <f>(G465+G470)- G474</f>
        <v>107699.20000000001</v>
      </c>
      <c r="H476" s="53">
        <f>(H465+H470)- H474</f>
        <v>0</v>
      </c>
      <c r="I476" s="53">
        <f>(I465+I470)- I474</f>
        <v>0</v>
      </c>
      <c r="J476" s="53">
        <f>(J465+J470)- J474</f>
        <v>206329.11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16997033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4.45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6795000</v>
      </c>
      <c r="G495" s="18"/>
      <c r="H495" s="18"/>
      <c r="I495" s="18"/>
      <c r="J495" s="18"/>
      <c r="K495" s="53">
        <f>SUM(F495:J495)</f>
        <v>6795000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850000</v>
      </c>
      <c r="G497" s="18"/>
      <c r="H497" s="18"/>
      <c r="I497" s="18"/>
      <c r="J497" s="18"/>
      <c r="K497" s="53">
        <f t="shared" si="35"/>
        <v>850000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5945000</v>
      </c>
      <c r="G498" s="204"/>
      <c r="H498" s="204"/>
      <c r="I498" s="204"/>
      <c r="J498" s="204"/>
      <c r="K498" s="205">
        <f t="shared" si="35"/>
        <v>5945000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936300</v>
      </c>
      <c r="G499" s="18"/>
      <c r="H499" s="18"/>
      <c r="I499" s="18"/>
      <c r="J499" s="18"/>
      <c r="K499" s="53">
        <f t="shared" si="35"/>
        <v>936300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6881300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6881300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850000</v>
      </c>
      <c r="G501" s="204"/>
      <c r="H501" s="204"/>
      <c r="I501" s="204"/>
      <c r="J501" s="204"/>
      <c r="K501" s="205">
        <f t="shared" si="35"/>
        <v>850000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238554</v>
      </c>
      <c r="G502" s="18"/>
      <c r="H502" s="18"/>
      <c r="I502" s="18"/>
      <c r="J502" s="18"/>
      <c r="K502" s="53">
        <f t="shared" si="35"/>
        <v>238554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1088554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1088554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631166.85</v>
      </c>
      <c r="G521" s="18">
        <v>705370.6</v>
      </c>
      <c r="H521" s="18">
        <v>203633.54</v>
      </c>
      <c r="I521" s="18">
        <v>1894.92</v>
      </c>
      <c r="J521" s="18">
        <v>3479.3</v>
      </c>
      <c r="K521" s="18"/>
      <c r="L521" s="88">
        <f>SUM(F521:K521)</f>
        <v>1545545.21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661458.53</v>
      </c>
      <c r="G522" s="18">
        <v>631061.15</v>
      </c>
      <c r="H522" s="18">
        <v>258413.85</v>
      </c>
      <c r="I522" s="18">
        <v>1039.8900000000001</v>
      </c>
      <c r="J522" s="18">
        <v>1808.64</v>
      </c>
      <c r="K522" s="18"/>
      <c r="L522" s="88">
        <f>SUM(F522:K522)</f>
        <v>1553782.06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515916.68</v>
      </c>
      <c r="G523" s="18">
        <v>306971.31</v>
      </c>
      <c r="H523" s="18">
        <v>396296.53</v>
      </c>
      <c r="I523" s="18">
        <v>2072.87</v>
      </c>
      <c r="J523" s="18">
        <v>483.75</v>
      </c>
      <c r="K523" s="18"/>
      <c r="L523" s="88">
        <f>SUM(F523:K523)</f>
        <v>1221741.1400000001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1808542.0599999998</v>
      </c>
      <c r="G524" s="108">
        <f t="shared" ref="G524:L524" si="36">SUM(G521:G523)</f>
        <v>1643403.06</v>
      </c>
      <c r="H524" s="108">
        <f t="shared" si="36"/>
        <v>858343.92</v>
      </c>
      <c r="I524" s="108">
        <f t="shared" si="36"/>
        <v>5007.68</v>
      </c>
      <c r="J524" s="108">
        <f t="shared" si="36"/>
        <v>5771.6900000000005</v>
      </c>
      <c r="K524" s="108">
        <f t="shared" si="36"/>
        <v>0</v>
      </c>
      <c r="L524" s="89">
        <f t="shared" si="36"/>
        <v>4321068.41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104465</v>
      </c>
      <c r="I526" s="18">
        <v>917.8</v>
      </c>
      <c r="J526" s="18"/>
      <c r="K526" s="18"/>
      <c r="L526" s="88">
        <f>SUM(F526:K526)</f>
        <v>105382.8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58547.5</v>
      </c>
      <c r="I527" s="18">
        <v>335</v>
      </c>
      <c r="J527" s="18"/>
      <c r="K527" s="18"/>
      <c r="L527" s="88">
        <f>SUM(F527:K527)</f>
        <v>58882.5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102640</v>
      </c>
      <c r="I528" s="18">
        <v>300</v>
      </c>
      <c r="J528" s="18"/>
      <c r="K528" s="18"/>
      <c r="L528" s="88">
        <f>SUM(F528:K528)</f>
        <v>102940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265652.5</v>
      </c>
      <c r="I529" s="89">
        <f t="shared" si="37"/>
        <v>1552.8</v>
      </c>
      <c r="J529" s="89">
        <f t="shared" si="37"/>
        <v>0</v>
      </c>
      <c r="K529" s="89">
        <f t="shared" si="37"/>
        <v>0</v>
      </c>
      <c r="L529" s="89">
        <f t="shared" si="37"/>
        <v>267205.3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49799.34</v>
      </c>
      <c r="G531" s="18">
        <v>18403.669999999998</v>
      </c>
      <c r="H531" s="18"/>
      <c r="I531" s="18"/>
      <c r="J531" s="18"/>
      <c r="K531" s="18"/>
      <c r="L531" s="88">
        <f>SUM(F531:K531)</f>
        <v>68203.009999999995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49799.34</v>
      </c>
      <c r="G532" s="18">
        <v>18403.669999999998</v>
      </c>
      <c r="H532" s="18"/>
      <c r="I532" s="18"/>
      <c r="J532" s="18"/>
      <c r="K532" s="18"/>
      <c r="L532" s="88">
        <f>SUM(F532:K532)</f>
        <v>68203.009999999995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49799.32</v>
      </c>
      <c r="G533" s="18">
        <v>18403.66</v>
      </c>
      <c r="H533" s="18"/>
      <c r="I533" s="18"/>
      <c r="J533" s="18"/>
      <c r="K533" s="18"/>
      <c r="L533" s="88">
        <f>SUM(F533:K533)</f>
        <v>68202.98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149398</v>
      </c>
      <c r="G534" s="89">
        <f t="shared" ref="G534:L534" si="38">SUM(G531:G533)</f>
        <v>55211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204609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199.8</v>
      </c>
      <c r="I536" s="18"/>
      <c r="J536" s="18"/>
      <c r="K536" s="18"/>
      <c r="L536" s="88">
        <f>SUM(F536:K536)</f>
        <v>199.8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199.8</v>
      </c>
      <c r="I537" s="18"/>
      <c r="J537" s="18"/>
      <c r="K537" s="18"/>
      <c r="L537" s="88">
        <f>SUM(F537:K537)</f>
        <v>199.8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199.8</v>
      </c>
      <c r="I538" s="18"/>
      <c r="J538" s="18"/>
      <c r="K538" s="18"/>
      <c r="L538" s="88">
        <f>SUM(F538:K538)</f>
        <v>199.8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599.40000000000009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599.40000000000009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55007.72</v>
      </c>
      <c r="I541" s="18"/>
      <c r="J541" s="18"/>
      <c r="K541" s="18"/>
      <c r="L541" s="88">
        <f>SUM(F541:K541)</f>
        <v>55007.72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21354.48</v>
      </c>
      <c r="I542" s="18"/>
      <c r="J542" s="18"/>
      <c r="K542" s="18"/>
      <c r="L542" s="88">
        <f>SUM(F542:K542)</f>
        <v>21354.48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21354.48</v>
      </c>
      <c r="I543" s="18"/>
      <c r="J543" s="18"/>
      <c r="K543" s="18"/>
      <c r="L543" s="88">
        <f>SUM(F543:K543)</f>
        <v>21354.48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97716.68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97716.68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1957940.0599999998</v>
      </c>
      <c r="G545" s="89">
        <f t="shared" ref="G545:L545" si="41">G524+G529+G534+G539+G544</f>
        <v>1698614.06</v>
      </c>
      <c r="H545" s="89">
        <f t="shared" si="41"/>
        <v>1222312.4999999998</v>
      </c>
      <c r="I545" s="89">
        <f t="shared" si="41"/>
        <v>6560.4800000000005</v>
      </c>
      <c r="J545" s="89">
        <f t="shared" si="41"/>
        <v>5771.6900000000005</v>
      </c>
      <c r="K545" s="89">
        <f t="shared" si="41"/>
        <v>0</v>
      </c>
      <c r="L545" s="89">
        <f t="shared" si="41"/>
        <v>4891198.79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1545545.21</v>
      </c>
      <c r="G549" s="87">
        <f>L526</f>
        <v>105382.8</v>
      </c>
      <c r="H549" s="87">
        <f>L531</f>
        <v>68203.009999999995</v>
      </c>
      <c r="I549" s="87">
        <f>L536</f>
        <v>199.8</v>
      </c>
      <c r="J549" s="87">
        <f>L541</f>
        <v>55007.72</v>
      </c>
      <c r="K549" s="87">
        <f>SUM(F549:J549)</f>
        <v>1774338.54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1553782.06</v>
      </c>
      <c r="G550" s="87">
        <f>L527</f>
        <v>58882.5</v>
      </c>
      <c r="H550" s="87">
        <f>L532</f>
        <v>68203.009999999995</v>
      </c>
      <c r="I550" s="87">
        <f>L537</f>
        <v>199.8</v>
      </c>
      <c r="J550" s="87">
        <f>L542</f>
        <v>21354.48</v>
      </c>
      <c r="K550" s="87">
        <f>SUM(F550:J550)</f>
        <v>1702421.85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1221741.1400000001</v>
      </c>
      <c r="G551" s="87">
        <f>L528</f>
        <v>102940</v>
      </c>
      <c r="H551" s="87">
        <f>L533</f>
        <v>68202.98</v>
      </c>
      <c r="I551" s="87">
        <f>L538</f>
        <v>199.8</v>
      </c>
      <c r="J551" s="87">
        <f>L543</f>
        <v>21354.48</v>
      </c>
      <c r="K551" s="87">
        <f>SUM(F551:J551)</f>
        <v>1414438.4000000001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4321068.41</v>
      </c>
      <c r="G552" s="89">
        <f t="shared" si="42"/>
        <v>267205.3</v>
      </c>
      <c r="H552" s="89">
        <f t="shared" si="42"/>
        <v>204609</v>
      </c>
      <c r="I552" s="89">
        <f t="shared" si="42"/>
        <v>599.40000000000009</v>
      </c>
      <c r="J552" s="89">
        <f t="shared" si="42"/>
        <v>97716.68</v>
      </c>
      <c r="K552" s="89">
        <f t="shared" si="42"/>
        <v>4891198.79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70474.899999999994</v>
      </c>
      <c r="G583" s="18">
        <v>158623.57999999999</v>
      </c>
      <c r="H583" s="18">
        <v>77835.95</v>
      </c>
      <c r="I583" s="87">
        <f t="shared" si="47"/>
        <v>306934.43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123848.41</v>
      </c>
      <c r="I591" s="18">
        <v>144866.14000000001</v>
      </c>
      <c r="J591" s="18">
        <v>129276.56</v>
      </c>
      <c r="K591" s="104">
        <f t="shared" ref="K591:K597" si="48">SUM(H591:J591)</f>
        <v>397991.11000000004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55007.72</v>
      </c>
      <c r="I592" s="18">
        <v>21354.48</v>
      </c>
      <c r="J592" s="18">
        <v>21354.48</v>
      </c>
      <c r="K592" s="104">
        <f t="shared" si="48"/>
        <v>97716.68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15926.32</v>
      </c>
      <c r="K593" s="104">
        <f t="shared" si="48"/>
        <v>15926.32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15671.38</v>
      </c>
      <c r="J594" s="18">
        <v>64464.53</v>
      </c>
      <c r="K594" s="104">
        <f t="shared" si="48"/>
        <v>80135.91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8795.25</v>
      </c>
      <c r="I595" s="18">
        <v>17545</v>
      </c>
      <c r="J595" s="18">
        <v>10256</v>
      </c>
      <c r="K595" s="104">
        <f t="shared" si="48"/>
        <v>36596.25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187651.38</v>
      </c>
      <c r="I598" s="108">
        <f>SUM(I591:I597)</f>
        <v>199437.00000000003</v>
      </c>
      <c r="J598" s="108">
        <f>SUM(J591:J597)</f>
        <v>241277.89</v>
      </c>
      <c r="K598" s="108">
        <f>SUM(K591:K597)</f>
        <v>628366.27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79869.119999999995</v>
      </c>
      <c r="I604" s="18">
        <v>71108.05</v>
      </c>
      <c r="J604" s="18">
        <v>101373.93</v>
      </c>
      <c r="K604" s="104">
        <f>SUM(H604:J604)</f>
        <v>252351.09999999998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79869.119999999995</v>
      </c>
      <c r="I605" s="108">
        <f>SUM(I602:I604)</f>
        <v>71108.05</v>
      </c>
      <c r="J605" s="108">
        <f>SUM(J602:J604)</f>
        <v>101373.93</v>
      </c>
      <c r="K605" s="108">
        <f>SUM(K602:K604)</f>
        <v>252351.09999999998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74989.08</v>
      </c>
      <c r="G611" s="18">
        <v>17247.490000000002</v>
      </c>
      <c r="H611" s="18"/>
      <c r="I611" s="18">
        <v>11000.77</v>
      </c>
      <c r="J611" s="18"/>
      <c r="K611" s="18"/>
      <c r="L611" s="88">
        <f>SUM(F611:K611)</f>
        <v>103237.34000000001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21637.09</v>
      </c>
      <c r="G612" s="18">
        <v>4976.53</v>
      </c>
      <c r="H612" s="18"/>
      <c r="I612" s="18">
        <v>494.05</v>
      </c>
      <c r="J612" s="18"/>
      <c r="K612" s="18"/>
      <c r="L612" s="88">
        <f>SUM(F612:K612)</f>
        <v>27107.67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13456.38</v>
      </c>
      <c r="G613" s="18">
        <v>3094.97</v>
      </c>
      <c r="H613" s="18"/>
      <c r="I613" s="18"/>
      <c r="J613" s="18"/>
      <c r="K613" s="18"/>
      <c r="L613" s="88">
        <f>SUM(F613:K613)</f>
        <v>16551.349999999999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110082.55</v>
      </c>
      <c r="G614" s="108">
        <f t="shared" si="49"/>
        <v>25318.99</v>
      </c>
      <c r="H614" s="108">
        <f t="shared" si="49"/>
        <v>0</v>
      </c>
      <c r="I614" s="108">
        <f t="shared" si="49"/>
        <v>11494.82</v>
      </c>
      <c r="J614" s="108">
        <f t="shared" si="49"/>
        <v>0</v>
      </c>
      <c r="K614" s="108">
        <f t="shared" si="49"/>
        <v>0</v>
      </c>
      <c r="L614" s="89">
        <f t="shared" si="49"/>
        <v>146896.36000000002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2977880.5</v>
      </c>
      <c r="H617" s="109">
        <f>SUM(F52)</f>
        <v>2977880.5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120844.87</v>
      </c>
      <c r="H618" s="109">
        <f>SUM(G52)</f>
        <v>120844.87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86405.55</v>
      </c>
      <c r="H619" s="109">
        <f>SUM(H52)</f>
        <v>86405.55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206329.11</v>
      </c>
      <c r="H621" s="109">
        <f>SUM(J52)</f>
        <v>206329.11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1784309.72</v>
      </c>
      <c r="H622" s="109">
        <f>F476</f>
        <v>1784309.7200000025</v>
      </c>
      <c r="I622" s="121" t="s">
        <v>101</v>
      </c>
      <c r="J622" s="109">
        <f t="shared" ref="J622:J655" si="50">G622-H622</f>
        <v>-2.5611370801925659E-9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107699.2</v>
      </c>
      <c r="H623" s="109">
        <f>G476</f>
        <v>107699.20000000001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206329.11</v>
      </c>
      <c r="H626" s="109">
        <f>J476</f>
        <v>206329.11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23236525.919999998</v>
      </c>
      <c r="H627" s="104">
        <f>SUM(F468)</f>
        <v>23236525.920000002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479689.09</v>
      </c>
      <c r="H628" s="104">
        <f>SUM(G468)</f>
        <v>479689.09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463952.23000000004</v>
      </c>
      <c r="H629" s="104">
        <f>SUM(H468)</f>
        <v>463952.23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17156.650000000001</v>
      </c>
      <c r="H631" s="104">
        <f>SUM(J468)</f>
        <v>17156.650000000001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23153459.400000002</v>
      </c>
      <c r="H632" s="104">
        <f>SUM(F472)</f>
        <v>23153459.399999999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463952.23</v>
      </c>
      <c r="H633" s="104">
        <f>SUM(H472)</f>
        <v>463952.23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251273.22999999998</v>
      </c>
      <c r="H634" s="104">
        <f>I369</f>
        <v>251273.22999999998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498815.18</v>
      </c>
      <c r="H635" s="104">
        <f>SUM(G472)</f>
        <v>498815.18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17156.650000000001</v>
      </c>
      <c r="H637" s="164">
        <f>SUM(J468)</f>
        <v>17156.650000000001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17156.650000000001</v>
      </c>
      <c r="H639" s="104">
        <f>SUM(F461)</f>
        <v>17156.650000000001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189172.46</v>
      </c>
      <c r="H640" s="104">
        <f>SUM(G461)</f>
        <v>189172.46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206329.11</v>
      </c>
      <c r="H642" s="104">
        <f>SUM(I461)</f>
        <v>206329.11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479.63</v>
      </c>
      <c r="H644" s="104">
        <f>H408</f>
        <v>479.63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17156.650000000001</v>
      </c>
      <c r="H646" s="104">
        <f>L408</f>
        <v>17156.650000000001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628366.27</v>
      </c>
      <c r="H647" s="104">
        <f>L208+L226+L244</f>
        <v>628366.27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252351.09999999998</v>
      </c>
      <c r="H648" s="104">
        <f>(J257+J338)-(J255+J336)</f>
        <v>252351.1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187651.38</v>
      </c>
      <c r="H649" s="104">
        <f>H598</f>
        <v>187651.38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199437</v>
      </c>
      <c r="H650" s="104">
        <f>I598</f>
        <v>199437.00000000003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241277.89</v>
      </c>
      <c r="H651" s="104">
        <f>J598</f>
        <v>241277.89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6845479.1599999983</v>
      </c>
      <c r="G660" s="19">
        <f>(L229+L309+L359)</f>
        <v>6763259.4399999995</v>
      </c>
      <c r="H660" s="19">
        <f>(L247+L328+L360)</f>
        <v>9381959.2100000009</v>
      </c>
      <c r="I660" s="19">
        <f>SUM(F660:H660)</f>
        <v>22990697.809999999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76192.479150030675</v>
      </c>
      <c r="G661" s="19">
        <f>(L359/IF(SUM(L358:L360)=0,1,SUM(L358:L360))*(SUM(G97:G110)))</f>
        <v>103779.53189825217</v>
      </c>
      <c r="H661" s="19">
        <f>(L360/IF(SUM(L358:L360)=0,1,SUM(L358:L360))*(SUM(G97:G110)))</f>
        <v>103794.86895171716</v>
      </c>
      <c r="I661" s="19">
        <f>SUM(F661:H661)</f>
        <v>283766.88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195764.88</v>
      </c>
      <c r="G662" s="19">
        <f>(L226+L306)-(J226+J306)</f>
        <v>199437</v>
      </c>
      <c r="H662" s="19">
        <f>(L244+L325)-(J244+J325)</f>
        <v>241277.89</v>
      </c>
      <c r="I662" s="19">
        <f>SUM(F662:H662)</f>
        <v>636479.77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253581.36</v>
      </c>
      <c r="G663" s="199">
        <f>SUM(G575:G587)+SUM(I602:I604)+L612</f>
        <v>256839.3</v>
      </c>
      <c r="H663" s="199">
        <f>SUM(H575:H587)+SUM(J602:J604)+L613</f>
        <v>195761.23</v>
      </c>
      <c r="I663" s="19">
        <f>SUM(F663:H663)</f>
        <v>706181.89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6319940.4408499673</v>
      </c>
      <c r="G664" s="19">
        <f>G660-SUM(G661:G663)</f>
        <v>6203203.608101747</v>
      </c>
      <c r="H664" s="19">
        <f>H660-SUM(H661:H663)</f>
        <v>8841125.2210482843</v>
      </c>
      <c r="I664" s="19">
        <f>I660-SUM(I661:I663)</f>
        <v>21364269.27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358.92</v>
      </c>
      <c r="G665" s="248">
        <v>337.71</v>
      </c>
      <c r="H665" s="248">
        <v>502.46</v>
      </c>
      <c r="I665" s="19">
        <f>SUM(F665:H665)</f>
        <v>1199.0899999999999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17608.21</v>
      </c>
      <c r="G667" s="19">
        <f>ROUND(G664/G665,2)</f>
        <v>18368.43</v>
      </c>
      <c r="H667" s="19">
        <f>ROUND(H664/H665,2)</f>
        <v>17595.68</v>
      </c>
      <c r="I667" s="19">
        <f>ROUND(I664/I665,2)</f>
        <v>17817.07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-25.89</v>
      </c>
      <c r="I670" s="19">
        <f>SUM(F670:H670)</f>
        <v>-25.89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17608.21</v>
      </c>
      <c r="G672" s="19">
        <f>ROUND((G664+G669)/(G665+G670),2)</f>
        <v>18368.43</v>
      </c>
      <c r="H672" s="19">
        <f>ROUND((H664+H669)/(H665+H670),2)</f>
        <v>18551.580000000002</v>
      </c>
      <c r="I672" s="19">
        <f>ROUND((I664+I669)/(I665+I670),2)</f>
        <v>18210.25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B19" sqref="B19: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Gilford SD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6152634.1699999999</v>
      </c>
      <c r="C9" s="229">
        <f>'DOE25'!G197+'DOE25'!G215+'DOE25'!G233+'DOE25'!G276+'DOE25'!G295+'DOE25'!G314</f>
        <v>3187010.13</v>
      </c>
    </row>
    <row r="10" spans="1:3" x14ac:dyDescent="0.2">
      <c r="A10" t="s">
        <v>779</v>
      </c>
      <c r="B10" s="240">
        <v>5683675.1299999999</v>
      </c>
      <c r="C10" s="240">
        <v>2728164.07</v>
      </c>
    </row>
    <row r="11" spans="1:3" x14ac:dyDescent="0.2">
      <c r="A11" t="s">
        <v>780</v>
      </c>
      <c r="B11" s="240">
        <v>322357.89</v>
      </c>
      <c r="C11" s="240">
        <v>447631.07</v>
      </c>
    </row>
    <row r="12" spans="1:3" x14ac:dyDescent="0.2">
      <c r="A12" t="s">
        <v>781</v>
      </c>
      <c r="B12" s="240">
        <v>146601.15</v>
      </c>
      <c r="C12" s="240">
        <v>11214.99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6152634.1699999999</v>
      </c>
      <c r="C13" s="231">
        <f>SUM(C10:C12)</f>
        <v>3187010.13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1808542.0600000003</v>
      </c>
      <c r="C18" s="229">
        <f>'DOE25'!G234+'DOE25'!G198+'DOE25'!G216+'DOE25'!G277+'DOE25'!G296+'DOE25'!G315</f>
        <v>1643403.0600000003</v>
      </c>
    </row>
    <row r="19" spans="1:3" x14ac:dyDescent="0.2">
      <c r="A19" t="s">
        <v>779</v>
      </c>
      <c r="B19" s="240">
        <v>832318.5</v>
      </c>
      <c r="C19" s="240">
        <v>432805.62</v>
      </c>
    </row>
    <row r="20" spans="1:3" x14ac:dyDescent="0.2">
      <c r="A20" t="s">
        <v>780</v>
      </c>
      <c r="B20" s="240">
        <v>922720.27</v>
      </c>
      <c r="C20" s="240">
        <v>1210597.44</v>
      </c>
    </row>
    <row r="21" spans="1:3" x14ac:dyDescent="0.2">
      <c r="A21" t="s">
        <v>781</v>
      </c>
      <c r="B21" s="240">
        <v>53503.29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1808542.06</v>
      </c>
      <c r="C22" s="231">
        <f>SUM(C19:C21)</f>
        <v>1643403.06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278371.55</v>
      </c>
      <c r="C36" s="235">
        <f>'DOE25'!G200+'DOE25'!G218+'DOE25'!G236+'DOE25'!G279+'DOE25'!G298+'DOE25'!G317</f>
        <v>158251.99</v>
      </c>
    </row>
    <row r="37" spans="1:3" x14ac:dyDescent="0.2">
      <c r="A37" t="s">
        <v>779</v>
      </c>
      <c r="B37" s="240">
        <v>21640.38</v>
      </c>
      <c r="C37" s="240">
        <v>4977.29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256731.17</v>
      </c>
      <c r="C39" s="240">
        <v>153274.70000000001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278371.55</v>
      </c>
      <c r="C40" s="231">
        <f>SUM(C37:C39)</f>
        <v>158251.99000000002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Gilford SD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14582327.289999999</v>
      </c>
      <c r="D5" s="20">
        <f>SUM('DOE25'!L197:L200)+SUM('DOE25'!L215:L218)+SUM('DOE25'!L233:L236)-F5-G5</f>
        <v>14533952.479999999</v>
      </c>
      <c r="E5" s="243"/>
      <c r="F5" s="255">
        <f>SUM('DOE25'!J197:J200)+SUM('DOE25'!J215:J218)+SUM('DOE25'!J233:J236)</f>
        <v>48374.810000000005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1113350.94</v>
      </c>
      <c r="D6" s="20">
        <f>'DOE25'!L202+'DOE25'!L220+'DOE25'!L238-F6-G6</f>
        <v>1112970.94</v>
      </c>
      <c r="E6" s="243"/>
      <c r="F6" s="255">
        <f>'DOE25'!J202+'DOE25'!J220+'DOE25'!J238</f>
        <v>380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1013985.4</v>
      </c>
      <c r="D7" s="20">
        <f>'DOE25'!L203+'DOE25'!L221+'DOE25'!L239-F7-G7</f>
        <v>844613.51</v>
      </c>
      <c r="E7" s="243"/>
      <c r="F7" s="255">
        <f>'DOE25'!J203+'DOE25'!J221+'DOE25'!J239</f>
        <v>169371.89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96750.62</v>
      </c>
      <c r="D8" s="243"/>
      <c r="E8" s="20">
        <f>'DOE25'!L204+'DOE25'!L222+'DOE25'!L240-F8-G8-D9-D11</f>
        <v>71003.399999999994</v>
      </c>
      <c r="F8" s="255">
        <f>'DOE25'!J204+'DOE25'!J222+'DOE25'!J240</f>
        <v>25747.22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40145.879999999997</v>
      </c>
      <c r="D9" s="244">
        <v>40145.879999999997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16750</v>
      </c>
      <c r="D10" s="243"/>
      <c r="E10" s="244">
        <v>16750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259645.6</v>
      </c>
      <c r="D11" s="244">
        <v>259645.6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1380931.21</v>
      </c>
      <c r="D12" s="20">
        <f>'DOE25'!L205+'DOE25'!L223+'DOE25'!L241-F12-G12</f>
        <v>1353180.86</v>
      </c>
      <c r="E12" s="243"/>
      <c r="F12" s="255">
        <f>'DOE25'!J205+'DOE25'!J223+'DOE25'!J241</f>
        <v>1634.43</v>
      </c>
      <c r="G12" s="53">
        <f>'DOE25'!K205+'DOE25'!K223+'DOE25'!K241</f>
        <v>26115.920000000002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419118.15000000008</v>
      </c>
      <c r="D13" s="243"/>
      <c r="E13" s="20">
        <f>'DOE25'!L206+'DOE25'!L224+'DOE25'!L242-F13-G13</f>
        <v>416342.65000000008</v>
      </c>
      <c r="F13" s="255">
        <f>'DOE25'!J206+'DOE25'!J224+'DOE25'!J242</f>
        <v>0</v>
      </c>
      <c r="G13" s="53">
        <f>'DOE25'!K206+'DOE25'!K224+'DOE25'!K242</f>
        <v>2775.5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2493309.0399999996</v>
      </c>
      <c r="D14" s="20">
        <f>'DOE25'!L207+'DOE25'!L225+'DOE25'!L243-F14-G14</f>
        <v>2472362.8399999994</v>
      </c>
      <c r="E14" s="243"/>
      <c r="F14" s="255">
        <f>'DOE25'!J207+'DOE25'!J225+'DOE25'!J243</f>
        <v>6842.75</v>
      </c>
      <c r="G14" s="53">
        <f>'DOE25'!K207+'DOE25'!K225+'DOE25'!K243</f>
        <v>14103.45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628366.27</v>
      </c>
      <c r="D15" s="20">
        <f>'DOE25'!L208+'DOE25'!L226+'DOE25'!L244-F15-G15</f>
        <v>628366.27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1125529</v>
      </c>
      <c r="D25" s="243"/>
      <c r="E25" s="243"/>
      <c r="F25" s="258"/>
      <c r="G25" s="256"/>
      <c r="H25" s="257">
        <f>'DOE25'!L260+'DOE25'!L261+'DOE25'!L341+'DOE25'!L342</f>
        <v>1125529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308602.64</v>
      </c>
      <c r="D29" s="20">
        <f>'DOE25'!L358+'DOE25'!L359+'DOE25'!L360-'DOE25'!I367-F29-G29</f>
        <v>308602.64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463952.23</v>
      </c>
      <c r="D31" s="20">
        <f>'DOE25'!L290+'DOE25'!L309+'DOE25'!L328+'DOE25'!L333+'DOE25'!L334+'DOE25'!L335-F31-G31</f>
        <v>463472.82999999996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479.4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22017313.849999998</v>
      </c>
      <c r="E33" s="246">
        <f>SUM(E5:E31)</f>
        <v>504096.05000000005</v>
      </c>
      <c r="F33" s="246">
        <f>SUM(F5:F31)</f>
        <v>252351.1</v>
      </c>
      <c r="G33" s="246">
        <f>SUM(G5:G31)</f>
        <v>43474.270000000004</v>
      </c>
      <c r="H33" s="246">
        <f>SUM(H5:H31)</f>
        <v>1125529</v>
      </c>
    </row>
    <row r="35" spans="2:8" ht="12" thickBot="1" x14ac:dyDescent="0.25">
      <c r="B35" s="253" t="s">
        <v>847</v>
      </c>
      <c r="D35" s="254">
        <f>E33</f>
        <v>504096.05000000005</v>
      </c>
      <c r="E35" s="249"/>
    </row>
    <row r="36" spans="2:8" ht="12" thickTop="1" x14ac:dyDescent="0.2">
      <c r="B36" t="s">
        <v>815</v>
      </c>
      <c r="D36" s="20">
        <f>D33</f>
        <v>22017313.849999998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22" sqref="C2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Gilford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1521029.79</v>
      </c>
      <c r="D8" s="95">
        <f>'DOE25'!G9</f>
        <v>109524.54</v>
      </c>
      <c r="E8" s="95">
        <f>'DOE25'!H9</f>
        <v>86405.55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206329.11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86405.55</v>
      </c>
      <c r="D12" s="95">
        <f>'DOE25'!G13</f>
        <v>9670.0499999999993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1370445.16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1650.28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2977880.5</v>
      </c>
      <c r="D18" s="41">
        <f>SUM(D8:D17)</f>
        <v>120844.87</v>
      </c>
      <c r="E18" s="41">
        <f>SUM(E8:E17)</f>
        <v>86405.55</v>
      </c>
      <c r="F18" s="41">
        <f>SUM(F8:F17)</f>
        <v>0</v>
      </c>
      <c r="G18" s="41">
        <f>SUM(G8:G17)</f>
        <v>206329.11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'DOE25'!F23</f>
        <v>108375.56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 t="e">
        <f>'DOE25'!#REF!</f>
        <v>#REF!</v>
      </c>
      <c r="D22" s="95">
        <f>'DOE25'!G23</f>
        <v>0</v>
      </c>
      <c r="E22" s="95">
        <f>'DOE25'!H23</f>
        <v>86405.55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1080125.22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5070</v>
      </c>
      <c r="D29" s="95">
        <f>'DOE25'!G30</f>
        <v>13145.67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 t="e">
        <f>SUM(C21:C30)</f>
        <v>#REF!</v>
      </c>
      <c r="D31" s="41">
        <f>SUM(D21:D30)</f>
        <v>13145.67</v>
      </c>
      <c r="E31" s="41">
        <f>SUM(E21:E30)</f>
        <v>86405.55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206329.11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466280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107699.2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1318029.72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1784309.72</v>
      </c>
      <c r="D50" s="41">
        <f>SUM(D34:D49)</f>
        <v>107699.2</v>
      </c>
      <c r="E50" s="41">
        <f>SUM(E34:E49)</f>
        <v>0</v>
      </c>
      <c r="F50" s="41">
        <f>SUM(F34:F49)</f>
        <v>0</v>
      </c>
      <c r="G50" s="41">
        <f>SUM(G34:G49)</f>
        <v>206329.11</v>
      </c>
      <c r="H50" s="124"/>
      <c r="I50" s="124"/>
    </row>
    <row r="51" spans="1:9" ht="12" thickTop="1" x14ac:dyDescent="0.2">
      <c r="A51" s="38" t="s">
        <v>901</v>
      </c>
      <c r="B51" s="2"/>
      <c r="C51" s="41" t="e">
        <f>C50+C31</f>
        <v>#REF!</v>
      </c>
      <c r="D51" s="41">
        <f>D50+D31</f>
        <v>120844.87</v>
      </c>
      <c r="E51" s="41">
        <f>E50+E31</f>
        <v>86405.55</v>
      </c>
      <c r="F51" s="41">
        <f>F50+F31</f>
        <v>0</v>
      </c>
      <c r="G51" s="41">
        <f>G50+G31</f>
        <v>206329.11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14683722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2936628.58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2464.73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479.63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283766.88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526257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16677.02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3465350.31</v>
      </c>
      <c r="D62" s="130">
        <f>SUM(D57:D61)</f>
        <v>283766.88</v>
      </c>
      <c r="E62" s="130">
        <f>SUM(E57:E61)</f>
        <v>0</v>
      </c>
      <c r="F62" s="130">
        <f>SUM(F57:F61)</f>
        <v>0</v>
      </c>
      <c r="G62" s="130">
        <f>SUM(G57:G61)</f>
        <v>17156.650000000001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18149072.309999999</v>
      </c>
      <c r="D63" s="22">
        <f>D56+D62</f>
        <v>283766.88</v>
      </c>
      <c r="E63" s="22">
        <f>E56+E62</f>
        <v>0</v>
      </c>
      <c r="F63" s="22">
        <f>F56+F62</f>
        <v>0</v>
      </c>
      <c r="G63" s="22">
        <f>G56+G62</f>
        <v>17156.650000000001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637608.07999999996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3967471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4605079.08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314593.8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113139.97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9716.5400000000009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6616.21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437450.31</v>
      </c>
      <c r="D78" s="130">
        <f>SUM(D72:D77)</f>
        <v>6616.21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5042529.3899999997</v>
      </c>
      <c r="D81" s="130">
        <f>SUM(D79:D80)+D78+D70</f>
        <v>6616.21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235597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44924.22</v>
      </c>
      <c r="D88" s="95">
        <f>SUM('DOE25'!G153:G161)</f>
        <v>189306</v>
      </c>
      <c r="E88" s="95">
        <f>SUM('DOE25'!H153:H161)</f>
        <v>228355.23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44924.22</v>
      </c>
      <c r="D91" s="131">
        <f>SUM(D85:D90)</f>
        <v>189306</v>
      </c>
      <c r="E91" s="131">
        <f>SUM(E85:E90)</f>
        <v>463952.23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23236525.919999998</v>
      </c>
      <c r="D104" s="86">
        <f>D63+D81+D91+D103</f>
        <v>479689.09</v>
      </c>
      <c r="E104" s="86">
        <f>E63+E81+E91+E103</f>
        <v>463952.23</v>
      </c>
      <c r="F104" s="86">
        <f>F63+F81+F91+F103</f>
        <v>0</v>
      </c>
      <c r="G104" s="86">
        <f>G63+G81+G103</f>
        <v>17156.650000000001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9542790.8800000008</v>
      </c>
      <c r="D109" s="24" t="s">
        <v>289</v>
      </c>
      <c r="E109" s="95">
        <f>('DOE25'!L276)+('DOE25'!L295)+('DOE25'!L314)</f>
        <v>166813.75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4159446.4099999997</v>
      </c>
      <c r="D110" s="24" t="s">
        <v>289</v>
      </c>
      <c r="E110" s="95">
        <f>('DOE25'!L277)+('DOE25'!L296)+('DOE25'!L315)</f>
        <v>161622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269337.43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610752.57000000007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14582327.290000001</v>
      </c>
      <c r="D115" s="86">
        <f>SUM(D109:D114)</f>
        <v>0</v>
      </c>
      <c r="E115" s="86">
        <f>SUM(E109:E114)</f>
        <v>328435.75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1113350.94</v>
      </c>
      <c r="D118" s="24" t="s">
        <v>289</v>
      </c>
      <c r="E118" s="95">
        <f>+('DOE25'!L281)+('DOE25'!L300)+('DOE25'!L319)</f>
        <v>73975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1013985.4</v>
      </c>
      <c r="D119" s="24" t="s">
        <v>289</v>
      </c>
      <c r="E119" s="95">
        <f>+('DOE25'!L282)+('DOE25'!L301)+('DOE25'!L320)</f>
        <v>53427.98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396542.1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1380931.21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419118.15000000008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2493309.0399999996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628366.27</v>
      </c>
      <c r="D124" s="24" t="s">
        <v>289</v>
      </c>
      <c r="E124" s="95">
        <f>+('DOE25'!L287)+('DOE25'!L306)+('DOE25'!L325)</f>
        <v>8113.5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498815.18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7445603.1099999994</v>
      </c>
      <c r="D128" s="86">
        <f>SUM(D118:D127)</f>
        <v>498815.18</v>
      </c>
      <c r="E128" s="86">
        <f>SUM(E118:E127)</f>
        <v>135516.48000000001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275529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17156.650000000001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-17156.650000000001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1125529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23153459.399999999</v>
      </c>
      <c r="D145" s="86">
        <f>(D115+D128+D144)</f>
        <v>498815.18</v>
      </c>
      <c r="E145" s="86">
        <f>(E115+E128+E144)</f>
        <v>463952.23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16997033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4.45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6795000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6795000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850000</v>
      </c>
    </row>
    <row r="159" spans="1:9" x14ac:dyDescent="0.2">
      <c r="A159" s="22" t="s">
        <v>35</v>
      </c>
      <c r="B159" s="137">
        <f>'DOE25'!F498</f>
        <v>5945000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5945000</v>
      </c>
    </row>
    <row r="160" spans="1:9" x14ac:dyDescent="0.2">
      <c r="A160" s="22" t="s">
        <v>36</v>
      </c>
      <c r="B160" s="137">
        <f>'DOE25'!F499</f>
        <v>936300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936300</v>
      </c>
    </row>
    <row r="161" spans="1:7" x14ac:dyDescent="0.2">
      <c r="A161" s="22" t="s">
        <v>37</v>
      </c>
      <c r="B161" s="137">
        <f>'DOE25'!F500</f>
        <v>6881300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6881300</v>
      </c>
    </row>
    <row r="162" spans="1:7" x14ac:dyDescent="0.2">
      <c r="A162" s="22" t="s">
        <v>38</v>
      </c>
      <c r="B162" s="137">
        <f>'DOE25'!F501</f>
        <v>850000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850000</v>
      </c>
    </row>
    <row r="163" spans="1:7" x14ac:dyDescent="0.2">
      <c r="A163" s="22" t="s">
        <v>39</v>
      </c>
      <c r="B163" s="137">
        <f>'DOE25'!F502</f>
        <v>238554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238554</v>
      </c>
    </row>
    <row r="164" spans="1:7" x14ac:dyDescent="0.2">
      <c r="A164" s="22" t="s">
        <v>246</v>
      </c>
      <c r="B164" s="137">
        <f>'DOE25'!F503</f>
        <v>1088554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1088554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Gilford SD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17608</v>
      </c>
    </row>
    <row r="5" spans="1:4" x14ac:dyDescent="0.2">
      <c r="B5" t="s">
        <v>704</v>
      </c>
      <c r="C5" s="179">
        <f>IF('DOE25'!G665+'DOE25'!G670=0,0,ROUND('DOE25'!G672,0))</f>
        <v>18368</v>
      </c>
    </row>
    <row r="6" spans="1:4" x14ac:dyDescent="0.2">
      <c r="B6" t="s">
        <v>62</v>
      </c>
      <c r="C6" s="179">
        <f>IF('DOE25'!H665+'DOE25'!H670=0,0,ROUND('DOE25'!H672,0))</f>
        <v>18552</v>
      </c>
    </row>
    <row r="7" spans="1:4" x14ac:dyDescent="0.2">
      <c r="B7" t="s">
        <v>705</v>
      </c>
      <c r="C7" s="179">
        <f>IF('DOE25'!I665+'DOE25'!I670=0,0,ROUND('DOE25'!I672,0))</f>
        <v>18210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9709605</v>
      </c>
      <c r="D10" s="182">
        <f>ROUND((C10/$C$28)*100,1)</f>
        <v>42.2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4321068</v>
      </c>
      <c r="D11" s="182">
        <f>ROUND((C11/$C$28)*100,1)</f>
        <v>18.8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269337</v>
      </c>
      <c r="D12" s="182">
        <f>ROUND((C12/$C$28)*100,1)</f>
        <v>1.2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610753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1187326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1067413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396542</v>
      </c>
      <c r="D17" s="182">
        <f t="shared" si="0"/>
        <v>1.7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1380931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419118</v>
      </c>
      <c r="D19" s="182">
        <f t="shared" si="0"/>
        <v>1.8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2493309</v>
      </c>
      <c r="D20" s="182">
        <f t="shared" si="0"/>
        <v>10.8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636480</v>
      </c>
      <c r="D21" s="182">
        <f t="shared" si="0"/>
        <v>2.8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275529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215048.12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22982459.120000001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22982459.120000001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850000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14683722</v>
      </c>
      <c r="D35" s="182">
        <f t="shared" ref="D35:D40" si="1">ROUND((C35/$C$41)*100,1)</f>
        <v>61.4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3482506.9599999972</v>
      </c>
      <c r="D36" s="182">
        <f t="shared" si="1"/>
        <v>14.6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4605079</v>
      </c>
      <c r="D37" s="182">
        <f t="shared" si="1"/>
        <v>19.3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444067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698182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23913556.959999997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Gilford SD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2016-10-20T12:37:22Z</cp:lastPrinted>
  <dcterms:created xsi:type="dcterms:W3CDTF">1997-12-04T19:04:30Z</dcterms:created>
  <dcterms:modified xsi:type="dcterms:W3CDTF">2016-11-29T14:44:45Z</dcterms:modified>
</cp:coreProperties>
</file>