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21" i="12" l="1"/>
  <c r="B12" i="12"/>
  <c r="B11" i="12"/>
  <c r="C10" i="12"/>
  <c r="B10" i="12"/>
  <c r="I526" i="1"/>
  <c r="F526" i="1"/>
  <c r="H526" i="1"/>
  <c r="D11" i="13"/>
  <c r="H604" i="1"/>
  <c r="J179" i="1"/>
  <c r="G521" i="1"/>
  <c r="F521" i="1"/>
  <c r="H233" i="1"/>
  <c r="H207" i="1"/>
  <c r="H204" i="1"/>
  <c r="H244" i="1" l="1"/>
  <c r="H20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3" i="10"/>
  <c r="C15" i="10"/>
  <c r="C18" i="10"/>
  <c r="C19" i="10"/>
  <c r="C20" i="10"/>
  <c r="L250" i="1"/>
  <c r="L332" i="1"/>
  <c r="L254" i="1"/>
  <c r="L268" i="1"/>
  <c r="L269" i="1"/>
  <c r="C143" i="2" s="1"/>
  <c r="L349" i="1"/>
  <c r="L350" i="1"/>
  <c r="I665" i="1"/>
  <c r="I670" i="1"/>
  <c r="L211" i="1"/>
  <c r="L247" i="1"/>
  <c r="F661" i="1"/>
  <c r="G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G192" i="1" s="1"/>
  <c r="H188" i="1"/>
  <c r="I188" i="1"/>
  <c r="F211" i="1"/>
  <c r="F257" i="1" s="1"/>
  <c r="G211" i="1"/>
  <c r="H211" i="1"/>
  <c r="I211" i="1"/>
  <c r="J211" i="1"/>
  <c r="K211" i="1"/>
  <c r="F229" i="1"/>
  <c r="G229" i="1"/>
  <c r="H229" i="1"/>
  <c r="H257" i="1" s="1"/>
  <c r="H271" i="1" s="1"/>
  <c r="I229" i="1"/>
  <c r="I257" i="1" s="1"/>
  <c r="I271" i="1" s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G401" i="1"/>
  <c r="H401" i="1"/>
  <c r="I401" i="1"/>
  <c r="F407" i="1"/>
  <c r="G407" i="1"/>
  <c r="G408" i="1" s="1"/>
  <c r="H645" i="1" s="1"/>
  <c r="H407" i="1"/>
  <c r="I407" i="1"/>
  <c r="F408" i="1"/>
  <c r="H643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F461" i="1" s="1"/>
  <c r="H639" i="1" s="1"/>
  <c r="J639" i="1" s="1"/>
  <c r="G452" i="1"/>
  <c r="H452" i="1"/>
  <c r="F460" i="1"/>
  <c r="G460" i="1"/>
  <c r="G461" i="1" s="1"/>
  <c r="H640" i="1" s="1"/>
  <c r="H460" i="1"/>
  <c r="F470" i="1"/>
  <c r="G470" i="1"/>
  <c r="G476" i="1" s="1"/>
  <c r="H623" i="1" s="1"/>
  <c r="J623" i="1" s="1"/>
  <c r="I470" i="1"/>
  <c r="G474" i="1"/>
  <c r="I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J617" i="1" s="1"/>
  <c r="G618" i="1"/>
  <c r="G622" i="1"/>
  <c r="G623" i="1"/>
  <c r="H627" i="1"/>
  <c r="H628" i="1"/>
  <c r="H630" i="1"/>
  <c r="H634" i="1"/>
  <c r="H635" i="1"/>
  <c r="H636" i="1"/>
  <c r="G639" i="1"/>
  <c r="G643" i="1"/>
  <c r="G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C26" i="10"/>
  <c r="L328" i="1"/>
  <c r="H660" i="1" s="1"/>
  <c r="L290" i="1"/>
  <c r="F660" i="1" s="1"/>
  <c r="D15" i="13"/>
  <c r="C15" i="13" s="1"/>
  <c r="D19" i="13"/>
  <c r="C19" i="13" s="1"/>
  <c r="E78" i="2"/>
  <c r="H112" i="1"/>
  <c r="F112" i="1"/>
  <c r="L433" i="1"/>
  <c r="I169" i="1"/>
  <c r="H169" i="1"/>
  <c r="G552" i="1"/>
  <c r="I476" i="1"/>
  <c r="H625" i="1" s="1"/>
  <c r="F169" i="1"/>
  <c r="J140" i="1"/>
  <c r="F571" i="1"/>
  <c r="K549" i="1"/>
  <c r="G22" i="2"/>
  <c r="K545" i="1"/>
  <c r="H140" i="1"/>
  <c r="L401" i="1"/>
  <c r="C139" i="2" s="1"/>
  <c r="L393" i="1"/>
  <c r="F22" i="13"/>
  <c r="C22" i="13" s="1"/>
  <c r="H25" i="13"/>
  <c r="C25" i="13" s="1"/>
  <c r="J545" i="1"/>
  <c r="H338" i="1"/>
  <c r="H352" i="1" s="1"/>
  <c r="H192" i="1"/>
  <c r="C35" i="10"/>
  <c r="L309" i="1"/>
  <c r="J636" i="1"/>
  <c r="C138" i="2"/>
  <c r="C10" i="10" l="1"/>
  <c r="I661" i="1"/>
  <c r="L229" i="1"/>
  <c r="C12" i="10"/>
  <c r="C17" i="10"/>
  <c r="L565" i="1"/>
  <c r="H571" i="1"/>
  <c r="L256" i="1"/>
  <c r="K257" i="1"/>
  <c r="K271" i="1" s="1"/>
  <c r="G257" i="1"/>
  <c r="G271" i="1" s="1"/>
  <c r="F192" i="1"/>
  <c r="D81" i="2"/>
  <c r="G112" i="1"/>
  <c r="A31" i="12"/>
  <c r="A40" i="12"/>
  <c r="D18" i="13"/>
  <c r="C18" i="13" s="1"/>
  <c r="J257" i="1"/>
  <c r="J271" i="1" s="1"/>
  <c r="K605" i="1"/>
  <c r="G648" i="1" s="1"/>
  <c r="I571" i="1"/>
  <c r="L570" i="1"/>
  <c r="J571" i="1"/>
  <c r="K571" i="1"/>
  <c r="L560" i="1"/>
  <c r="G338" i="1"/>
  <c r="G352" i="1" s="1"/>
  <c r="D145" i="2"/>
  <c r="G81" i="2"/>
  <c r="J552" i="1"/>
  <c r="I552" i="1"/>
  <c r="F552" i="1"/>
  <c r="L351" i="1"/>
  <c r="C29" i="10"/>
  <c r="F662" i="1"/>
  <c r="D50" i="2"/>
  <c r="D29" i="13"/>
  <c r="C29" i="13" s="1"/>
  <c r="C16" i="10"/>
  <c r="D17" i="13"/>
  <c r="C17" i="13" s="1"/>
  <c r="D12" i="13"/>
  <c r="C12" i="13" s="1"/>
  <c r="I545" i="1"/>
  <c r="G62" i="2"/>
  <c r="E16" i="13"/>
  <c r="C16" i="13" s="1"/>
  <c r="D6" i="13"/>
  <c r="C6" i="13" s="1"/>
  <c r="E13" i="13"/>
  <c r="C13" i="13" s="1"/>
  <c r="L257" i="1"/>
  <c r="H552" i="1"/>
  <c r="H545" i="1"/>
  <c r="G545" i="1"/>
  <c r="E103" i="2"/>
  <c r="C91" i="2"/>
  <c r="D18" i="2"/>
  <c r="D91" i="2"/>
  <c r="C62" i="2"/>
  <c r="C63" i="2" s="1"/>
  <c r="D62" i="2"/>
  <c r="D63" i="2" s="1"/>
  <c r="F18" i="2"/>
  <c r="D5" i="13"/>
  <c r="C5" i="13" s="1"/>
  <c r="D14" i="13"/>
  <c r="C14" i="13" s="1"/>
  <c r="E8" i="13"/>
  <c r="C8" i="13" s="1"/>
  <c r="C128" i="2"/>
  <c r="D7" i="13"/>
  <c r="C7" i="13" s="1"/>
  <c r="H33" i="13"/>
  <c r="G156" i="2"/>
  <c r="F664" i="1"/>
  <c r="F667" i="1" s="1"/>
  <c r="I662" i="1"/>
  <c r="C21" i="10"/>
  <c r="J649" i="1"/>
  <c r="K598" i="1"/>
  <c r="G647" i="1" s="1"/>
  <c r="J647" i="1" s="1"/>
  <c r="J645" i="1"/>
  <c r="L270" i="1"/>
  <c r="L271" i="1" s="1"/>
  <c r="J643" i="1"/>
  <c r="J641" i="1"/>
  <c r="H461" i="1"/>
  <c r="H641" i="1" s="1"/>
  <c r="J640" i="1"/>
  <c r="L427" i="1"/>
  <c r="L419" i="1"/>
  <c r="H408" i="1"/>
  <c r="H644" i="1" s="1"/>
  <c r="J644" i="1" s="1"/>
  <c r="J634" i="1"/>
  <c r="G161" i="2"/>
  <c r="G157" i="2"/>
  <c r="E128" i="2"/>
  <c r="C115" i="2"/>
  <c r="G164" i="2"/>
  <c r="E115" i="2"/>
  <c r="C78" i="2"/>
  <c r="F78" i="2"/>
  <c r="F81" i="2" s="1"/>
  <c r="C70" i="2"/>
  <c r="E62" i="2"/>
  <c r="E63" i="2" s="1"/>
  <c r="D31" i="2"/>
  <c r="E31" i="2"/>
  <c r="C18" i="2"/>
  <c r="F672" i="1"/>
  <c r="C4" i="10" s="1"/>
  <c r="K550" i="1"/>
  <c r="H664" i="1"/>
  <c r="H667" i="1" s="1"/>
  <c r="G624" i="1"/>
  <c r="L534" i="1"/>
  <c r="K500" i="1"/>
  <c r="I460" i="1"/>
  <c r="I452" i="1"/>
  <c r="I446" i="1"/>
  <c r="G642" i="1" s="1"/>
  <c r="F271" i="1"/>
  <c r="L544" i="1"/>
  <c r="L524" i="1"/>
  <c r="K551" i="1"/>
  <c r="E81" i="2"/>
  <c r="G625" i="1"/>
  <c r="J625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L338" i="1"/>
  <c r="L352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D51" i="2"/>
  <c r="J654" i="1"/>
  <c r="J653" i="1"/>
  <c r="F144" i="2"/>
  <c r="F145" i="2" s="1"/>
  <c r="G21" i="2"/>
  <c r="G31" i="2" s="1"/>
  <c r="J32" i="1"/>
  <c r="L434" i="1"/>
  <c r="J434" i="1"/>
  <c r="F434" i="1"/>
  <c r="K434" i="1"/>
  <c r="G134" i="2" s="1"/>
  <c r="G144" i="2" s="1"/>
  <c r="G145" i="2" s="1"/>
  <c r="H672" i="1"/>
  <c r="C6" i="10" s="1"/>
  <c r="F31" i="13"/>
  <c r="F33" i="13" s="1"/>
  <c r="J193" i="1"/>
  <c r="G646" i="1" s="1"/>
  <c r="H193" i="1"/>
  <c r="G169" i="1"/>
  <c r="C39" i="10" s="1"/>
  <c r="G140" i="1"/>
  <c r="F140" i="1"/>
  <c r="F193" i="1" s="1"/>
  <c r="G627" i="1" s="1"/>
  <c r="J627" i="1" s="1"/>
  <c r="C36" i="10"/>
  <c r="G63" i="2"/>
  <c r="J618" i="1"/>
  <c r="G667" i="1"/>
  <c r="G672" i="1"/>
  <c r="C5" i="10" s="1"/>
  <c r="G42" i="2"/>
  <c r="G50" i="2" s="1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H648" i="1"/>
  <c r="J648" i="1" s="1"/>
  <c r="J652" i="1"/>
  <c r="G571" i="1"/>
  <c r="I434" i="1"/>
  <c r="G434" i="1"/>
  <c r="I663" i="1"/>
  <c r="C27" i="10"/>
  <c r="G635" i="1"/>
  <c r="J635" i="1" s="1"/>
  <c r="G629" i="1" l="1"/>
  <c r="H468" i="1"/>
  <c r="I660" i="1"/>
  <c r="G51" i="2"/>
  <c r="E145" i="2"/>
  <c r="E33" i="13"/>
  <c r="D35" i="13" s="1"/>
  <c r="G104" i="2"/>
  <c r="K552" i="1"/>
  <c r="F104" i="2"/>
  <c r="E104" i="2"/>
  <c r="C145" i="2"/>
  <c r="E51" i="2"/>
  <c r="G633" i="1"/>
  <c r="H472" i="1"/>
  <c r="G632" i="1"/>
  <c r="F472" i="1"/>
  <c r="G637" i="1"/>
  <c r="J468" i="1"/>
  <c r="G638" i="1"/>
  <c r="J472" i="1"/>
  <c r="C81" i="2"/>
  <c r="C104" i="2" s="1"/>
  <c r="C28" i="10"/>
  <c r="D23" i="10" s="1"/>
  <c r="D31" i="13"/>
  <c r="C31" i="13" s="1"/>
  <c r="L545" i="1"/>
  <c r="I461" i="1"/>
  <c r="H642" i="1" s="1"/>
  <c r="J642" i="1" s="1"/>
  <c r="C51" i="2"/>
  <c r="G631" i="1"/>
  <c r="I664" i="1"/>
  <c r="I672" i="1" s="1"/>
  <c r="C7" i="10" s="1"/>
  <c r="D33" i="13"/>
  <c r="D36" i="13" s="1"/>
  <c r="J646" i="1"/>
  <c r="G193" i="1"/>
  <c r="G628" i="1" s="1"/>
  <c r="J628" i="1" s="1"/>
  <c r="G626" i="1"/>
  <c r="J52" i="1"/>
  <c r="H621" i="1" s="1"/>
  <c r="J621" i="1" s="1"/>
  <c r="C38" i="10"/>
  <c r="H470" i="1" l="1"/>
  <c r="H629" i="1"/>
  <c r="J629" i="1"/>
  <c r="D20" i="10"/>
  <c r="D25" i="10"/>
  <c r="D27" i="10"/>
  <c r="D15" i="10"/>
  <c r="D19" i="10"/>
  <c r="D10" i="10"/>
  <c r="D18" i="10"/>
  <c r="D17" i="10"/>
  <c r="D12" i="10"/>
  <c r="D24" i="10"/>
  <c r="J633" i="1"/>
  <c r="H633" i="1"/>
  <c r="H474" i="1"/>
  <c r="H476" i="1" s="1"/>
  <c r="H624" i="1" s="1"/>
  <c r="J624" i="1" s="1"/>
  <c r="D13" i="10"/>
  <c r="D26" i="10"/>
  <c r="D11" i="10"/>
  <c r="C30" i="10"/>
  <c r="D21" i="10"/>
  <c r="D16" i="10"/>
  <c r="D22" i="10"/>
  <c r="F474" i="1"/>
  <c r="F476" i="1" s="1"/>
  <c r="H622" i="1" s="1"/>
  <c r="J622" i="1" s="1"/>
  <c r="H632" i="1"/>
  <c r="J632" i="1" s="1"/>
  <c r="J470" i="1"/>
  <c r="H631" i="1"/>
  <c r="H637" i="1"/>
  <c r="J631" i="1"/>
  <c r="J637" i="1"/>
  <c r="H638" i="1"/>
  <c r="J474" i="1"/>
  <c r="J638" i="1"/>
  <c r="I667" i="1"/>
  <c r="C41" i="10"/>
  <c r="D38" i="10" s="1"/>
  <c r="J476" i="1" l="1"/>
  <c r="H626" i="1" s="1"/>
  <c r="J626" i="1" s="1"/>
  <c r="D28" i="10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<sst xmlns="http://schemas.openxmlformats.org/spreadsheetml/2006/main" count="3960" uniqueCount="918">
  <si>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</si>
  <si>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</si>
  <si>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</si>
  <si>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</si>
  <si>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</si>
  <si>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</si>
  <si>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</si>
  <si>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</si>
  <si>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</si>
  <si>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</si>
  <si>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</si>
  <si>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</si>
  <si>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</si>
  <si>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</si>
  <si>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</si>
  <si>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</si>
  <si>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</si>
  <si>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</si>
  <si>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</si>
  <si>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</si>
  <si>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</si>
  <si>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</si>
  <si>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</si>
  <si>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</si>
  <si>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</si>
  <si>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</si>
  <si>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</si>
  <si>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</si>
  <si>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</si>
  <si>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</si>
  <si>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</si>
  <si>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</si>
  <si>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</si>
  <si>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</si>
  <si>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</si>
  <si>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</si>
  <si>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</si>
  <si>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</si>
  <si>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</si>
  <si>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</si>
  <si>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</si>
  <si>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</si>
  <si>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</si>
  <si>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</si>
  <si>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</si>
  <si>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</si>
  <si>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</si>
  <si>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</si>
  <si>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</si>
  <si>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</si>
  <si>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</si>
  <si>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</si>
  <si>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</si>
  <si>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</si>
  <si>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</si>
  <si>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</si>
  <si>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</si>
  <si>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</si>
  <si>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</si>
  <si>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</si>
  <si>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</si>
  <si>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</si>
  <si>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</si>
  <si>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</si>
  <si>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</si>
  <si>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</si>
  <si>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</si>
  <si>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</si>
  <si>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</si>
  <si>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</si>
  <si>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</si>
  <si>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</si>
  <si>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</si>
  <si>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</si>
  <si>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</si>
  <si>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</si>
  <si>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</si>
  <si>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</si>
  <si>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</si>
  <si>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</si>
  <si>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</si>
  <si>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</si>
  <si>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</si>
  <si>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</si>
  <si>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</si>
  <si>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</si>
  <si>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</si>
  <si>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</si>
  <si>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</si>
  <si>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</si>
  <si>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</si>
  <si>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</si>
  <si>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</si>
  <si>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</si>
  <si>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</si>
  <si>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</si>
  <si>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</si>
  <si>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</si>
  <si>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</si>
  <si>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</si>
  <si>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</si>
  <si>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</si>
  <si>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</si>
  <si>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</si>
  <si>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</si>
  <si>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</si>
  <si>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</si>
  <si>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</si>
  <si>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</si>
  <si>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</si>
  <si>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</si>
  <si>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</si>
  <si>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</si>
  <si>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</si>
  <si>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</si>
  <si>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</si>
  <si>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</si>
  <si>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</si>
  <si>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</si>
  <si>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</si>
  <si>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</si>
  <si>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</si>
  <si>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</si>
  <si>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</si>
  <si>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</si>
  <si>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</si>
  <si>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</si>
  <si>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</si>
  <si>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</si>
  <si>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</si>
  <si>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</si>
  <si>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</si>
  <si>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</si>
  <si>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</si>
  <si>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</si>
  <si>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</si>
  <si>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</si>
  <si>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</si>
  <si>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</si>
  <si>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</si>
  <si>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</si>
  <si>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</si>
  <si>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</si>
  <si>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</si>
  <si>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</si>
  <si>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</si>
  <si>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</si>
  <si>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</si>
  <si>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</si>
  <si>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</si>
  <si>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</si>
  <si>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</si>
  <si>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</si>
  <si>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</si>
  <si>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</si>
  <si>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</si>
  <si>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</si>
  <si>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</si>
  <si>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</si>
  <si>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</si>
  <si>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</si>
  <si>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</si>
  <si>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</si>
  <si>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</si>
  <si>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</si>
  <si>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</si>
  <si>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</si>
  <si>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</si>
  <si>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</si>
  <si>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</si>
  <si>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</si>
  <si>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</si>
  <si>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</si>
  <si>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</si>
  <si>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</si>
  <si>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</si>
  <si>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</si>
  <si>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</si>
  <si>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</si>
  <si>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</si>
  <si>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</si>
  <si>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</si>
  <si>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</si>
  <si>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</si>
  <si>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</si>
  <si>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</si>
  <si>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</si>
  <si>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</si>
  <si>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</si>
  <si>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</si>
  <si>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</si>
  <si>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</si>
  <si>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</si>
  <si>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</si>
  <si>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</si>
  <si>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</si>
  <si>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</si>
  <si>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</si>
  <si>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</si>
  <si>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</si>
  <si>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</si>
  <si>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</si>
  <si>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</si>
  <si>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</si>
  <si>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</si>
  <si>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</si>
  <si>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</si>
  <si>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</si>
  <si>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</si>
  <si>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</si>
  <si>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</si>
  <si>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</si>
  <si>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</si>
  <si>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</si>
  <si>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</si>
  <si>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</si>
  <si>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</si>
  <si>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</si>
  <si>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</si>
  <si>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</si>
  <si>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</si>
  <si>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</si>
  <si>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</si>
  <si>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</si>
  <si>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</si>
  <si>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</si>
  <si>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</si>
  <si>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</si>
  <si>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</si>
  <si>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</si>
  <si>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</si>
  <si>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</si>
  <si>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</si>
  <si>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</si>
  <si>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</si>
  <si>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</si>
  <si>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</si>
  <si>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</si>
  <si>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</si>
  <si>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</si>
  <si>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</si>
  <si>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</si>
  <si>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</si>
  <si>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</si>
  <si>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</si>
  <si>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</si>
  <si>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</si>
  <si>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</si>
  <si>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</si>
  <si>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</si>
  <si>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</si>
  <si>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</si>
  <si>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</si>
  <si>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</si>
  <si>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</si>
  <si>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</si>
  <si>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</si>
  <si>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</si>
  <si>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</si>
  <si>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</si>
  <si>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</si>
  <si>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</si>
  <si>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</si>
  <si>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</si>
  <si>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</si>
  <si>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</si>
  <si>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</si>
  <si>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</si>
  <si>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</si>
  <si>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</si>
  <si>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</si>
  <si>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</si>
  <si>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</si>
  <si>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</si>
  <si>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</si>
  <si>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</si>
  <si>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</si>
  <si>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</si>
  <si>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</si>
  <si>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</si>
  <si>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</si>
  <si>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</si>
  <si>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</si>
  <si>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</si>
  <si>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</si>
  <si>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</si>
  <si>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</si>
  <si>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</si>
  <si>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</si>
  <si>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</si>
  <si>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</si>
  <si>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</si>
  <si>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</si>
  <si>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</si>
  <si>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</si>
  <si>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</si>
  <si>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</si>
  <si>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</si>
  <si>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</si>
  <si>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</si>
  <si>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</si>
  <si>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</si>
  <si>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</si>
  <si>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</si>
  <si>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</si>
  <si>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</si>
  <si>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</si>
  <si>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</si>
  <si>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</si>
  <si>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</si>
  <si>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</si>
  <si>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</si>
  <si>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</si>
  <si>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</si>
  <si>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</si>
  <si>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</si>
  <si>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</si>
  <si>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</si>
  <si>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</si>
  <si>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</si>
  <si>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</si>
  <si>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</si>
  <si>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</si>
  <si>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</si>
  <si>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</si>
  <si>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</si>
  <si>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</si>
  <si>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</si>
  <si>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</si>
  <si>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</si>
  <si>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</si>
  <si>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</si>
  <si>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</si>
  <si>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</si>
  <si>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</si>
  <si>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</si>
  <si>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</si>
  <si>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</si>
  <si>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</si>
  <si>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</si>
  <si>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</si>
  <si>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</si>
  <si>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</si>
  <si>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</si>
  <si>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</si>
  <si>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</si>
  <si>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</si>
  <si>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</si>
  <si>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</si>
  <si>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</si>
  <si>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</si>
  <si>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</si>
  <si>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</si>
  <si>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</si>
  <si>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</si>
  <si>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</si>
  <si>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</si>
  <si>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</si>
  <si>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</si>
  <si>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</si>
  <si>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</si>
  <si>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</si>
  <si>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</si>
  <si>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</si>
  <si>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</si>
  <si>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</si>
  <si>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</si>
  <si>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</si>
  <si>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</si>
  <si>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</si>
  <si>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</si>
  <si>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</si>
  <si>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</si>
  <si>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</si>
  <si>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</si>
  <si>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</si>
  <si>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</si>
  <si>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</si>
  <si>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</si>
  <si>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</si>
  <si>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</si>
  <si>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</si>
  <si>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</si>
  <si>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</si>
  <si>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</si>
  <si>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</si>
  <si>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</si>
  <si>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</si>
  <si>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</si>
  <si>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</si>
  <si>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</si>
  <si>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</si>
  <si>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</si>
  <si>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</si>
  <si>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</si>
  <si>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</si>
  <si>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</si>
  <si>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</si>
  <si>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</si>
  <si>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</si>
  <si>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</si>
  <si>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</si>
  <si>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</si>
  <si>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</si>
  <si>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</si>
  <si>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</si>
  <si>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</si>
  <si>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</si>
  <si>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</si>
  <si>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</si>
  <si>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</si>
  <si>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</si>
  <si>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</si>
  <si>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</si>
  <si>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</si>
  <si>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</si>
  <si>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</si>
  <si>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</si>
  <si>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</si>
  <si>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</si>
  <si>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</si>
  <si>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</si>
  <si>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</si>
  <si>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</si>
  <si>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</si>
  <si>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</si>
  <si>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</si>
  <si>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</si>
  <si>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</si>
  <si>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</si>
  <si>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</si>
  <si>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</si>
  <si>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</si>
  <si>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</si>
  <si>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</si>
  <si>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</si>
  <si>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</si>
  <si>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</si>
  <si>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</si>
  <si>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</si>
  <si>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</si>
  <si>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</si>
  <si>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</si>
  <si>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</si>
  <si>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</si>
  <si>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</si>
  <si>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</si>
  <si>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</si>
  <si>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</si>
  <si>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</si>
  <si>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</si>
  <si>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</si>
  <si>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</si>
  <si>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</si>
  <si>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</si>
  <si>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</si>
  <si>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</si>
  <si>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</si>
  <si>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</si>
  <si>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</si>
  <si>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</si>
  <si>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</si>
  <si>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</si>
  <si>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</si>
  <si>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</si>
  <si>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</si>
  <si>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</si>
  <si>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</si>
  <si>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</si>
  <si>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</si>
  <si>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</si>
  <si>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</si>
  <si>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</si>
  <si>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</si>
  <si>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</si>
  <si>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</si>
  <si>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</si>
  <si>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</si>
  <si>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</si>
  <si>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</si>
  <si>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</si>
  <si>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</si>
  <si>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</si>
  <si>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</si>
  <si>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</si>
  <si>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</si>
  <si>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</si>
  <si>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</si>
  <si>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</si>
  <si>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</si>
  <si>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</si>
  <si>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</si>
  <si>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</si>
  <si>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</si>
  <si>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</si>
  <si>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</si>
  <si>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</si>
  <si>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</si>
  <si>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</si>
  <si>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</si>
  <si>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</si>
  <si>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</si>
  <si>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</si>
  <si>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</si>
  <si>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</si>
  <si>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</si>
  <si>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</si>
  <si>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</si>
  <si>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</si>
  <si>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</si>
  <si>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</si>
  <si>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</si>
  <si>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</si>
  <si>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</si>
  <si>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</si>
  <si>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</si>
  <si>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</si>
  <si>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</si>
  <si>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</si>
  <si>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</si>
  <si>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</si>
  <si>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</si>
  <si>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</si>
  <si>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</si>
  <si>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</si>
  <si>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</si>
  <si>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</si>
  <si>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</si>
  <si>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</si>
  <si>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</si>
  <si>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</si>
  <si>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</si>
  <si>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</si>
  <si>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</si>
  <si>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</si>
  <si>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</si>
  <si>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</si>
  <si>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</si>
  <si>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</si>
  <si>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</si>
  <si>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</si>
  <si>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</si>
  <si>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</si>
  <si>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</si>
  <si>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</si>
  <si>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</si>
  <si>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</si>
  <si>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</si>
  <si>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</si>
  <si>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</si>
  <si>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</si>
  <si>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</si>
  <si>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</si>
  <si>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</si>
  <si>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</si>
  <si>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</si>
  <si>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</si>
  <si>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</si>
  <si>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</si>
  <si>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</si>
  <si>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</si>
  <si>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</si>
  <si>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</si>
  <si>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</si>
  <si>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</si>
  <si>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</si>
  <si>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</si>
  <si>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</si>
  <si>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</si>
  <si>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</si>
  <si>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</si>
  <si>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</si>
  <si>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</si>
  <si>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</si>
  <si>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</si>
  <si>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</si>
  <si>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</si>
  <si>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</si>
  <si>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</si>
  <si>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</si>
  <si>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</si>
  <si>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</si>
  <si>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</si>
  <si>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</si>
  <si>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</si>
  <si>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</si>
  <si>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</si>
  <si>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</si>
  <si>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</si>
  <si>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</si>
  <si>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</si>
  <si>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</si>
  <si>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</si>
  <si>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</si>
  <si>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</si>
  <si>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</si>
  <si>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</si>
  <si>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</si>
  <si>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</si>
  <si>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</si>
  <si>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</si>
  <si>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</si>
  <si>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</si>
  <si>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</si>
  <si>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</si>
  <si>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</si>
  <si>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</si>
  <si>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</si>
  <si>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</si>
  <si>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</si>
  <si>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</si>
  <si>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</si>
  <si>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</si>
  <si>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</si>
  <si>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</si>
  <si>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</si>
  <si>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</si>
  <si>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</si>
  <si>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</si>
  <si>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</si>
  <si>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</si>
  <si>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</si>
  <si>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</si>
  <si>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</si>
  <si>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</si>
  <si>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</si>
  <si>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</si>
  <si>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</si>
  <si>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</si>
  <si>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</si>
  <si>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</si>
  <si>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</si>
  <si>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</si>
  <si>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</si>
  <si>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</si>
  <si>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</si>
  <si>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</si>
  <si>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</si>
  <si>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</si>
  <si>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</si>
  <si>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</si>
  <si>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</si>
  <si>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</si>
  <si>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</si>
  <si>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</si>
  <si>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</si>
  <si>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</si>
  <si>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</si>
  <si>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</si>
  <si>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</si>
  <si>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</si>
  <si>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</si>
  <si>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</si>
  <si>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</si>
  <si>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</si>
  <si>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</si>
  <si>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</si>
  <si>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</si>
  <si>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</si>
  <si>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</si>
  <si>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</si>
  <si>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</si>
  <si>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</si>
  <si>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</si>
  <si>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</si>
  <si>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</si>
  <si>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</si>
  <si>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</si>
  <si>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</si>
  <si>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</si>
  <si>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</si>
  <si>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</si>
  <si>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</si>
  <si>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</si>
  <si>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</si>
  <si>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</si>
  <si>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</si>
  <si>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</si>
  <si>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</si>
  <si>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</si>
  <si>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</si>
  <si>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</si>
  <si>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</si>
  <si>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</si>
  <si>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</si>
  <si>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</si>
  <si>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</si>
  <si>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</si>
  <si>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</si>
  <si>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</si>
  <si>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</si>
  <si>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</si>
  <si>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</si>
  <si>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</si>
  <si>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</si>
  <si>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</si>
  <si>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</si>
  <si>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</si>
  <si>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</si>
  <si>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</si>
  <si>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</si>
  <si>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</si>
  <si>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</si>
  <si>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</si>
  <si>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</si>
  <si>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</si>
  <si>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</si>
  <si>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</si>
  <si>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</si>
  <si>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</si>
  <si>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</si>
  <si>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</si>
  <si>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</si>
  <si>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</si>
  <si>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</si>
  <si>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</si>
  <si>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</si>
  <si>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</si>
  <si>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</si>
  <si>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</si>
  <si>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</si>
  <si>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</si>
  <si>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</si>
  <si>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</si>
  <si>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</si>
  <si>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</si>
  <si>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</si>
  <si>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</si>
  <si>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</si>
  <si>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</si>
  <si>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</si>
  <si>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</si>
  <si>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</si>
  <si>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</si>
  <si>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</si>
  <si>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</si>
  <si>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</si>
  <si>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</si>
  <si>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</si>
  <si>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</si>
  <si>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</si>
  <si>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</si>
  <si>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</si>
  <si>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</si>
  <si>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</si>
  <si>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</si>
  <si>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</si>
  <si>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</si>
  <si>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</si>
  <si>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</si>
  <si>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</si>
  <si>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</si>
  <si>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</si>
  <si>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</si>
  <si>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</si>
  <si>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</si>
  <si>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</si>
  <si>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</si>
  <si>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</si>
  <si>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</si>
  <si>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</si>
  <si>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</si>
  <si>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</si>
  <si>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</si>
  <si>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</si>
  <si>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</si>
  <si>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</si>
  <si>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</si>
  <si>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</si>
  <si>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</si>
  <si>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</si>
  <si>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</si>
  <si>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</si>
  <si>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</si>
  <si>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</si>
  <si>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</si>
  <si>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</si>
  <si>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</si>
  <si>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</si>
  <si>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</si>
  <si>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</si>
  <si>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</si>
  <si>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</si>
  <si>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</si>
  <si>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</si>
  <si>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</si>
  <si>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</si>
  <si>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</si>
  <si>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</si>
  <si>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</si>
  <si>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</si>
  <si>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</si>
  <si>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</si>
  <si>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</si>
  <si>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</si>
  <si>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</si>
  <si>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</si>
  <si>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</si>
  <si>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</si>
  <si>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</si>
  <si>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</si>
  <si>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</si>
  <si>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</si>
  <si>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</si>
  <si>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</si>
  <si>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</si>
  <si>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</si>
  <si>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</si>
  <si>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</si>
  <si>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</si>
  <si>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</si>
  <si>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</si>
  <si>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</si>
  <si>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</si>
  <si>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</si>
  <si>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</si>
  <si>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</si>
  <si>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</si>
  <si>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</si>
  <si>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</si>
  <si>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</si>
  <si>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</si>
  <si>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</si>
  <si>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</si>
  <si>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</si>
  <si>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</si>
  <si>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</si>
  <si>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</si>
  <si>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</si>
  <si>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</si>
  <si>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</si>
  <si>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</si>
  <si>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</si>
  <si>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</si>
  <si>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</si>
  <si>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</si>
  <si>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</si>
  <si>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</si>
  <si>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</si>
  <si>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</si>
  <si>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</si>
  <si>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</si>
  <si>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</si>
  <si>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</si>
  <si>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</si>
  <si>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</si>
  <si>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</si>
  <si>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</si>
  <si>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</si>
  <si>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</si>
  <si>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</si>
  <si>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</si>
  <si>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</si>
  <si>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</si>
  <si>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</si>
  <si>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</si>
  <si>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</si>
  <si>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</si>
  <si>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</si>
  <si>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</si>
  <si>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</si>
  <si>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</si>
  <si>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</si>
  <si>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</si>
  <si>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</si>
  <si>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</si>
  <si>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</si>
  <si>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</si>
  <si>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</si>
  <si>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</si>
  <si>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</si>
  <si>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</si>
  <si>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</si>
  <si>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</si>
  <si>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</si>
  <si>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</si>
  <si>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</si>
  <si>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</si>
  <si>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</si>
  <si>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</si>
  <si>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</si>
  <si>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</si>
  <si>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</si>
  <si>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</si>
  <si>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</si>
  <si>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</si>
  <si>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</si>
  <si>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</si>
  <si>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</si>
  <si>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</si>
  <si>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</si>
  <si>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</si>
  <si>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</si>
  <si>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</si>
  <si>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</si>
  <si>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</si>
  <si>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</si>
  <si>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</si>
  <si>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</si>
  <si>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</si>
  <si>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</si>
  <si>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</si>
  <si>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</si>
  <si>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</si>
  <si>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</si>
  <si>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</si>
  <si>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</si>
  <si>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</si>
  <si>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</si>
  <si>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</si>
  <si>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</si>
  <si>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</si>
  <si>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Scholarship/awards</t>
  </si>
  <si>
    <t>08/96</t>
  </si>
  <si>
    <t>02/17</t>
  </si>
  <si>
    <t>05/15</t>
  </si>
  <si>
    <t>07/09</t>
  </si>
  <si>
    <t>Gilmanton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</si>
</sst>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G669" sqref="G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917</v>
      </c>
      <c r="B2" s="21">
        <v>195</v>
      </c>
      <c r="C2" s="21">
        <v>195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941214.23</v>
      </c>
      <c r="G9" s="18">
        <v>75</v>
      </c>
      <c r="H9" s="18"/>
      <c r="I9" s="18"/>
      <c r="J9" s="67">
        <f>SUM(I439)</f>
        <v>626009.59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0.91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32342.89</v>
      </c>
      <c r="G12" s="18">
        <v>292.13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2029.83</v>
      </c>
      <c r="H13" s="18">
        <v>17735.330000000002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973558.03</v>
      </c>
      <c r="G19" s="41">
        <f>SUM(G9:G18)</f>
        <v>2396.96</v>
      </c>
      <c r="H19" s="41">
        <f>SUM(H9:H18)</f>
        <v>17735.330000000002</v>
      </c>
      <c r="I19" s="41">
        <f>SUM(I9:I18)</f>
        <v>0</v>
      </c>
      <c r="J19" s="41">
        <f>SUM(J9:J18)</f>
        <v>626009.59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292.13</v>
      </c>
      <c r="G22" s="18"/>
      <c r="H22" s="18"/>
      <c r="I22" s="18"/>
      <c r="J22" s="67">
        <f>SUM(I448)</f>
        <v>63439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9536.33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61600.22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195864.61</v>
      </c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16933.740000000002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2396.96</v>
      </c>
      <c r="H30" s="18">
        <v>8199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274690.7</v>
      </c>
      <c r="G32" s="41">
        <f>SUM(G22:G31)</f>
        <v>2396.96</v>
      </c>
      <c r="H32" s="41">
        <f>SUM(H22:H31)</f>
        <v>17735.330000000002</v>
      </c>
      <c r="I32" s="41">
        <f>SUM(I22:I31)</f>
        <v>0</v>
      </c>
      <c r="J32" s="41">
        <f>SUM(J22:J31)</f>
        <v>63439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562570.59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64913.4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633953.93000000005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698867.33000000007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562570.59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973558.03</v>
      </c>
      <c r="G52" s="41">
        <f>G51+G32</f>
        <v>2396.96</v>
      </c>
      <c r="H52" s="41">
        <f>H51+H32</f>
        <v>17735.330000000002</v>
      </c>
      <c r="I52" s="41">
        <f>I51+I32</f>
        <v>0</v>
      </c>
      <c r="J52" s="41">
        <f>J51+J32</f>
        <v>626009.59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7533018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7533018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1611.02</v>
      </c>
      <c r="G96" s="18"/>
      <c r="H96" s="18"/>
      <c r="I96" s="18"/>
      <c r="J96" s="18">
        <v>13132.45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52696.67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-1932.9</v>
      </c>
      <c r="G110" s="18">
        <v>1163.07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-321.88000000000011</v>
      </c>
      <c r="G111" s="41">
        <f>SUM(G96:G110)</f>
        <v>53859.74</v>
      </c>
      <c r="H111" s="41">
        <f>SUM(H96:H110)</f>
        <v>0</v>
      </c>
      <c r="I111" s="41">
        <f>SUM(I96:I110)</f>
        <v>0</v>
      </c>
      <c r="J111" s="41">
        <f>SUM(J96:J110)</f>
        <v>13132.45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7532696.1200000001</v>
      </c>
      <c r="G112" s="41">
        <f>G60+G111</f>
        <v>53859.74</v>
      </c>
      <c r="H112" s="41">
        <f>H60+H79+H94+H111</f>
        <v>0</v>
      </c>
      <c r="I112" s="41">
        <f>I60+I111</f>
        <v>0</v>
      </c>
      <c r="J112" s="41">
        <f>J60+J111</f>
        <v>13132.45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1043448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1031410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5137.8100000000004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2079995.81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63353.599999999999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26689.22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1821.87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90042.82</v>
      </c>
      <c r="G136" s="41">
        <f>SUM(G123:G135)</f>
        <v>1821.87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2170038.63</v>
      </c>
      <c r="G140" s="41">
        <f>G121+SUM(G136:G137)</f>
        <v>1821.87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>
        <v>1338.75</v>
      </c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1338.75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44226.46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20992.55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31875.78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123167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91960.17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1001.25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91960.17</v>
      </c>
      <c r="G162" s="41">
        <f>SUM(G150:G161)</f>
        <v>32877.03</v>
      </c>
      <c r="H162" s="41">
        <f>SUM(H150:H161)</f>
        <v>188386.01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91960.17</v>
      </c>
      <c r="G169" s="41">
        <f>G147+G162+SUM(G163:G168)</f>
        <v>32877.03</v>
      </c>
      <c r="H169" s="41">
        <f>H147+H162+SUM(H163:H168)</f>
        <v>189724.76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54439.96</v>
      </c>
      <c r="H179" s="18"/>
      <c r="I179" s="18"/>
      <c r="J179" s="18">
        <f>64561-507</f>
        <v>64054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54439.96</v>
      </c>
      <c r="H183" s="41">
        <f>SUM(H179:H182)</f>
        <v>0</v>
      </c>
      <c r="I183" s="41">
        <f>SUM(I179:I182)</f>
        <v>0</v>
      </c>
      <c r="J183" s="41">
        <f>SUM(J179:J182)</f>
        <v>64054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83983.23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83983.23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83983.23</v>
      </c>
      <c r="G192" s="41">
        <f>G183+SUM(G188:G191)</f>
        <v>54439.96</v>
      </c>
      <c r="H192" s="41">
        <f>+H183+SUM(H188:H191)</f>
        <v>0</v>
      </c>
      <c r="I192" s="41">
        <f>I177+I183+SUM(I188:I191)</f>
        <v>0</v>
      </c>
      <c r="J192" s="41">
        <f>J183</f>
        <v>64054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9878678.1500000004</v>
      </c>
      <c r="G193" s="47">
        <f>G112+G140+G169+G192</f>
        <v>142998.6</v>
      </c>
      <c r="H193" s="47">
        <f>H112+H140+H169+H192</f>
        <v>189724.76</v>
      </c>
      <c r="I193" s="47">
        <f>I112+I140+I169+I192</f>
        <v>0</v>
      </c>
      <c r="J193" s="47">
        <f>J112+J140+J192</f>
        <v>77186.45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1748707.9600000002</v>
      </c>
      <c r="G197" s="18">
        <v>813300.24</v>
      </c>
      <c r="H197" s="18">
        <v>10764.44</v>
      </c>
      <c r="I197" s="18">
        <v>66563.13</v>
      </c>
      <c r="J197" s="18">
        <v>3597.6899999999996</v>
      </c>
      <c r="K197" s="18">
        <v>0</v>
      </c>
      <c r="L197" s="19">
        <f>SUM(F197:K197)</f>
        <v>2642933.46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314533.76000000001</v>
      </c>
      <c r="G198" s="18">
        <v>141050.32</v>
      </c>
      <c r="H198" s="18">
        <v>165179.5</v>
      </c>
      <c r="I198" s="18">
        <v>3172.83</v>
      </c>
      <c r="J198" s="18"/>
      <c r="K198" s="18"/>
      <c r="L198" s="19">
        <f>SUM(F198:K198)</f>
        <v>623936.41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37830</v>
      </c>
      <c r="G200" s="18">
        <v>16964.580000000002</v>
      </c>
      <c r="H200" s="18">
        <v>6583.5</v>
      </c>
      <c r="I200" s="18">
        <v>7751.5</v>
      </c>
      <c r="J200" s="18"/>
      <c r="K200" s="18">
        <v>10963.44</v>
      </c>
      <c r="L200" s="19">
        <f>SUM(F200:K200)</f>
        <v>80093.02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278175.53999999998</v>
      </c>
      <c r="G202" s="18">
        <v>124745.74</v>
      </c>
      <c r="H202" s="18">
        <v>79135.95</v>
      </c>
      <c r="I202" s="18">
        <v>4503.03</v>
      </c>
      <c r="J202" s="18"/>
      <c r="K202" s="18">
        <v>2662.43</v>
      </c>
      <c r="L202" s="19">
        <f t="shared" ref="L202:L208" si="0">SUM(F202:K202)</f>
        <v>489222.69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103899.70999999999</v>
      </c>
      <c r="G203" s="18">
        <v>54593.05</v>
      </c>
      <c r="H203" s="18">
        <v>34462.86</v>
      </c>
      <c r="I203" s="18">
        <v>36946.39</v>
      </c>
      <c r="J203" s="18">
        <v>88326.83</v>
      </c>
      <c r="K203" s="18"/>
      <c r="L203" s="19">
        <f t="shared" si="0"/>
        <v>318228.84000000003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174474.96</v>
      </c>
      <c r="G204" s="18">
        <v>78241.990000000005</v>
      </c>
      <c r="H204" s="18">
        <f>73880.44-3500</f>
        <v>70380.44</v>
      </c>
      <c r="I204" s="18">
        <v>4056.4500000000003</v>
      </c>
      <c r="J204" s="18"/>
      <c r="K204" s="18">
        <v>9543</v>
      </c>
      <c r="L204" s="19">
        <f t="shared" si="0"/>
        <v>336696.84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216392.15</v>
      </c>
      <c r="G205" s="18">
        <v>97039.44</v>
      </c>
      <c r="H205" s="18">
        <v>14972.32</v>
      </c>
      <c r="I205" s="18">
        <v>2312.5500000000002</v>
      </c>
      <c r="J205" s="18">
        <v>5269.68</v>
      </c>
      <c r="K205" s="18"/>
      <c r="L205" s="19">
        <f t="shared" si="0"/>
        <v>335986.13999999996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77803</v>
      </c>
      <c r="G206" s="18">
        <v>34890.17</v>
      </c>
      <c r="H206" s="18">
        <v>10619.6</v>
      </c>
      <c r="I206" s="18">
        <v>1888.25</v>
      </c>
      <c r="J206" s="18">
        <v>797.13</v>
      </c>
      <c r="K206" s="18">
        <v>3502.35</v>
      </c>
      <c r="L206" s="19">
        <f t="shared" si="0"/>
        <v>129500.50000000001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141819.91999999998</v>
      </c>
      <c r="G207" s="18">
        <v>63598.080000000002</v>
      </c>
      <c r="H207" s="18">
        <f>239747.59-5000-30561-20000</f>
        <v>184186.59</v>
      </c>
      <c r="I207" s="18">
        <v>138255.18999999997</v>
      </c>
      <c r="J207" s="18">
        <v>13507</v>
      </c>
      <c r="K207" s="18"/>
      <c r="L207" s="19">
        <f t="shared" si="0"/>
        <v>541366.77999999991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463147.08-105209.25</f>
        <v>357937.83</v>
      </c>
      <c r="I208" s="18"/>
      <c r="J208" s="18"/>
      <c r="K208" s="18"/>
      <c r="L208" s="19">
        <f t="shared" si="0"/>
        <v>357937.83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3093637</v>
      </c>
      <c r="G211" s="41">
        <f t="shared" si="1"/>
        <v>1424423.61</v>
      </c>
      <c r="H211" s="41">
        <f t="shared" si="1"/>
        <v>934223.03</v>
      </c>
      <c r="I211" s="41">
        <f t="shared" si="1"/>
        <v>265449.31999999995</v>
      </c>
      <c r="J211" s="41">
        <f t="shared" si="1"/>
        <v>111498.33000000002</v>
      </c>
      <c r="K211" s="41">
        <f t="shared" si="1"/>
        <v>26671.22</v>
      </c>
      <c r="L211" s="41">
        <f t="shared" si="1"/>
        <v>5855902.5099999998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2928985.77-5852.4</f>
        <v>2923133.37</v>
      </c>
      <c r="I233" s="18"/>
      <c r="J233" s="18"/>
      <c r="K233" s="18"/>
      <c r="L233" s="19">
        <f>SUM(F233:K233)</f>
        <v>2923133.37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161097.60999999999</v>
      </c>
      <c r="I234" s="18"/>
      <c r="J234" s="18"/>
      <c r="K234" s="18"/>
      <c r="L234" s="19">
        <f>SUM(F234:K234)</f>
        <v>161097.60999999999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11435.04+105209.25</f>
        <v>116644.29000000001</v>
      </c>
      <c r="I244" s="18"/>
      <c r="J244" s="18"/>
      <c r="K244" s="18"/>
      <c r="L244" s="19">
        <f t="shared" si="4"/>
        <v>116644.29000000001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3200875.27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3200875.27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3093637</v>
      </c>
      <c r="G257" s="41">
        <f t="shared" si="8"/>
        <v>1424423.61</v>
      </c>
      <c r="H257" s="41">
        <f t="shared" si="8"/>
        <v>4135098.3</v>
      </c>
      <c r="I257" s="41">
        <f t="shared" si="8"/>
        <v>265449.31999999995</v>
      </c>
      <c r="J257" s="41">
        <f t="shared" si="8"/>
        <v>111498.33000000002</v>
      </c>
      <c r="K257" s="41">
        <f t="shared" si="8"/>
        <v>26671.22</v>
      </c>
      <c r="L257" s="41">
        <f t="shared" si="8"/>
        <v>9056777.7799999993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226400</v>
      </c>
      <c r="L260" s="19">
        <f>SUM(F260:K260)</f>
        <v>226400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17188.669999999998</v>
      </c>
      <c r="L261" s="19">
        <f>SUM(F261:K261)</f>
        <v>17188.669999999998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54439.96</v>
      </c>
      <c r="L263" s="19">
        <f>SUM(F263:K263)</f>
        <v>54439.96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64054</v>
      </c>
      <c r="L266" s="19">
        <f t="shared" si="9"/>
        <v>64054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362082.63</v>
      </c>
      <c r="L270" s="41">
        <f t="shared" si="9"/>
        <v>362082.63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3093637</v>
      </c>
      <c r="G271" s="42">
        <f t="shared" si="11"/>
        <v>1424423.61</v>
      </c>
      <c r="H271" s="42">
        <f t="shared" si="11"/>
        <v>4135098.3</v>
      </c>
      <c r="I271" s="42">
        <f t="shared" si="11"/>
        <v>265449.31999999995</v>
      </c>
      <c r="J271" s="42">
        <f t="shared" si="11"/>
        <v>111498.33000000002</v>
      </c>
      <c r="K271" s="42">
        <f t="shared" si="11"/>
        <v>388753.85</v>
      </c>
      <c r="L271" s="42">
        <f t="shared" si="11"/>
        <v>9418860.4100000001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65065.21</v>
      </c>
      <c r="G276" s="18">
        <v>1492.55</v>
      </c>
      <c r="H276" s="18"/>
      <c r="I276" s="18"/>
      <c r="J276" s="18"/>
      <c r="K276" s="18"/>
      <c r="L276" s="19">
        <f>SUM(F276:K276)</f>
        <v>66557.759999999995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46807</v>
      </c>
      <c r="G277" s="18">
        <v>31257.4</v>
      </c>
      <c r="H277" s="18"/>
      <c r="I277" s="18"/>
      <c r="J277" s="18"/>
      <c r="K277" s="18"/>
      <c r="L277" s="19">
        <f>SUM(F277:K277)</f>
        <v>78064.399999999994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5702</v>
      </c>
      <c r="G281" s="18">
        <v>1072</v>
      </c>
      <c r="H281" s="18">
        <v>10000</v>
      </c>
      <c r="I281" s="18"/>
      <c r="J281" s="18">
        <v>20187.599999999999</v>
      </c>
      <c r="K281" s="18"/>
      <c r="L281" s="19">
        <f t="shared" ref="L281:L287" si="12">SUM(F281:K281)</f>
        <v>36961.599999999999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6400</v>
      </c>
      <c r="G283" s="18">
        <v>1741</v>
      </c>
      <c r="H283" s="18"/>
      <c r="I283" s="18"/>
      <c r="J283" s="18"/>
      <c r="K283" s="18"/>
      <c r="L283" s="19">
        <f t="shared" si="12"/>
        <v>8141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123974.20999999999</v>
      </c>
      <c r="G290" s="42">
        <f t="shared" si="13"/>
        <v>35562.949999999997</v>
      </c>
      <c r="H290" s="42">
        <f t="shared" si="13"/>
        <v>10000</v>
      </c>
      <c r="I290" s="42">
        <f t="shared" si="13"/>
        <v>0</v>
      </c>
      <c r="J290" s="42">
        <f t="shared" si="13"/>
        <v>20187.599999999999</v>
      </c>
      <c r="K290" s="42">
        <f t="shared" si="13"/>
        <v>0</v>
      </c>
      <c r="L290" s="41">
        <f t="shared" si="13"/>
        <v>189724.75999999998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123974.20999999999</v>
      </c>
      <c r="G338" s="41">
        <f t="shared" si="20"/>
        <v>35562.949999999997</v>
      </c>
      <c r="H338" s="41">
        <f t="shared" si="20"/>
        <v>10000</v>
      </c>
      <c r="I338" s="41">
        <f t="shared" si="20"/>
        <v>0</v>
      </c>
      <c r="J338" s="41">
        <f t="shared" si="20"/>
        <v>20187.599999999999</v>
      </c>
      <c r="K338" s="41">
        <f t="shared" si="20"/>
        <v>0</v>
      </c>
      <c r="L338" s="41">
        <f t="shared" si="20"/>
        <v>189724.75999999998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123974.20999999999</v>
      </c>
      <c r="G352" s="41">
        <f>G338</f>
        <v>35562.949999999997</v>
      </c>
      <c r="H352" s="41">
        <f>H338</f>
        <v>10000</v>
      </c>
      <c r="I352" s="41">
        <f>I338</f>
        <v>0</v>
      </c>
      <c r="J352" s="41">
        <f>J338</f>
        <v>20187.599999999999</v>
      </c>
      <c r="K352" s="47">
        <f>K338+K351</f>
        <v>0</v>
      </c>
      <c r="L352" s="41">
        <f>L338+L351</f>
        <v>189724.75999999998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62003.67</v>
      </c>
      <c r="G358" s="18">
        <v>13000</v>
      </c>
      <c r="H358" s="18"/>
      <c r="I358" s="18">
        <v>67285.05</v>
      </c>
      <c r="J358" s="18">
        <v>709.88</v>
      </c>
      <c r="K358" s="18"/>
      <c r="L358" s="13">
        <f>SUM(F358:K358)</f>
        <v>142998.6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62003.67</v>
      </c>
      <c r="G362" s="47">
        <f t="shared" si="22"/>
        <v>13000</v>
      </c>
      <c r="H362" s="47">
        <f t="shared" si="22"/>
        <v>0</v>
      </c>
      <c r="I362" s="47">
        <f t="shared" si="22"/>
        <v>67285.05</v>
      </c>
      <c r="J362" s="47">
        <f t="shared" si="22"/>
        <v>709.88</v>
      </c>
      <c r="K362" s="47">
        <f t="shared" si="22"/>
        <v>0</v>
      </c>
      <c r="L362" s="47">
        <f t="shared" si="22"/>
        <v>142998.6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61968.25</v>
      </c>
      <c r="G367" s="18"/>
      <c r="H367" s="18"/>
      <c r="I367" s="56">
        <f>SUM(F367:H367)</f>
        <v>61968.25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5316.8</v>
      </c>
      <c r="G368" s="63"/>
      <c r="H368" s="63"/>
      <c r="I368" s="56">
        <f>SUM(F368:H368)</f>
        <v>5316.8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67285.05</v>
      </c>
      <c r="G369" s="47">
        <f>SUM(G367:G368)</f>
        <v>0</v>
      </c>
      <c r="H369" s="47">
        <f>SUM(H367:H368)</f>
        <v>0</v>
      </c>
      <c r="I369" s="47">
        <f>SUM(I367:I368)</f>
        <v>67285.05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43410</v>
      </c>
      <c r="H392" s="18">
        <v>2378.7399999999998</v>
      </c>
      <c r="I392" s="18"/>
      <c r="J392" s="24" t="s">
        <v>289</v>
      </c>
      <c r="K392" s="24" t="s">
        <v>289</v>
      </c>
      <c r="L392" s="56">
        <f t="shared" si="25"/>
        <v>45788.74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43410</v>
      </c>
      <c r="H393" s="139">
        <f>SUM(H387:H392)</f>
        <v>2378.7399999999998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45788.74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17908</v>
      </c>
      <c r="H396" s="18">
        <v>5373.86</v>
      </c>
      <c r="I396" s="18"/>
      <c r="J396" s="24" t="s">
        <v>289</v>
      </c>
      <c r="K396" s="24" t="s">
        <v>289</v>
      </c>
      <c r="L396" s="56">
        <f t="shared" si="26"/>
        <v>23281.86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4052.82</v>
      </c>
      <c r="I397" s="18"/>
      <c r="J397" s="24" t="s">
        <v>289</v>
      </c>
      <c r="K397" s="24" t="s">
        <v>289</v>
      </c>
      <c r="L397" s="56">
        <f t="shared" si="26"/>
        <v>4052.82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721.36</v>
      </c>
      <c r="I398" s="18"/>
      <c r="J398" s="24" t="s">
        <v>289</v>
      </c>
      <c r="K398" s="24" t="s">
        <v>289</v>
      </c>
      <c r="L398" s="56">
        <f t="shared" si="26"/>
        <v>721.36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2736</v>
      </c>
      <c r="H400" s="18">
        <v>343.49</v>
      </c>
      <c r="I400" s="18"/>
      <c r="J400" s="24" t="s">
        <v>289</v>
      </c>
      <c r="K400" s="24" t="s">
        <v>289</v>
      </c>
      <c r="L400" s="56">
        <f t="shared" si="26"/>
        <v>3079.49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20644</v>
      </c>
      <c r="H401" s="47">
        <f>SUM(H395:H400)</f>
        <v>10491.53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31135.53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 t="s">
        <v>912</v>
      </c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>
        <v>262.18</v>
      </c>
      <c r="I403" s="18"/>
      <c r="J403" s="24" t="s">
        <v>289</v>
      </c>
      <c r="K403" s="24" t="s">
        <v>289</v>
      </c>
      <c r="L403" s="56">
        <f>SUM(F403:K403)</f>
        <v>262.18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262.18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262.18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64054</v>
      </c>
      <c r="H408" s="47">
        <f>H393+H401+H407</f>
        <v>13132.45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77186.449999999983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>
        <v>83983.23</v>
      </c>
      <c r="L418" s="56">
        <f t="shared" si="27"/>
        <v>83983.23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83983.23</v>
      </c>
      <c r="L419" s="47">
        <f t="shared" si="28"/>
        <v>83983.23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15100</v>
      </c>
      <c r="L422" s="56">
        <f t="shared" si="29"/>
        <v>15100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19470</v>
      </c>
      <c r="L426" s="56">
        <f t="shared" si="29"/>
        <v>19470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34570</v>
      </c>
      <c r="L427" s="47">
        <f t="shared" si="30"/>
        <v>34570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>
        <v>475</v>
      </c>
      <c r="L429" s="56">
        <f>SUM(F429:K429)</f>
        <v>475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475</v>
      </c>
      <c r="L433" s="47">
        <f t="shared" si="31"/>
        <v>475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119028.23</v>
      </c>
      <c r="L434" s="47">
        <f t="shared" si="32"/>
        <v>119028.23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95178.2</v>
      </c>
      <c r="G439" s="18">
        <v>518249.07</v>
      </c>
      <c r="H439" s="18">
        <v>12582.32</v>
      </c>
      <c r="I439" s="56">
        <f t="shared" ref="I439:I445" si="33">SUM(F439:H439)</f>
        <v>626009.59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95178.2</v>
      </c>
      <c r="G446" s="13">
        <f>SUM(G439:G445)</f>
        <v>518249.07</v>
      </c>
      <c r="H446" s="13">
        <f>SUM(H439:H445)</f>
        <v>12582.32</v>
      </c>
      <c r="I446" s="13">
        <f>SUM(I439:I445)</f>
        <v>626009.59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v>63439</v>
      </c>
      <c r="H448" s="18"/>
      <c r="I448" s="56">
        <f>SUM(F448:H448)</f>
        <v>63439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63439</v>
      </c>
      <c r="H452" s="72">
        <f>SUM(H448:H451)</f>
        <v>0</v>
      </c>
      <c r="I452" s="72">
        <f>SUM(I448:I451)</f>
        <v>63439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95178.2</v>
      </c>
      <c r="G459" s="18">
        <v>454810.07</v>
      </c>
      <c r="H459" s="18">
        <v>12582.32</v>
      </c>
      <c r="I459" s="56">
        <f t="shared" si="34"/>
        <v>562570.59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95178.2</v>
      </c>
      <c r="G460" s="83">
        <f>SUM(G454:G459)</f>
        <v>454810.07</v>
      </c>
      <c r="H460" s="83">
        <f>SUM(H454:H459)</f>
        <v>12582.32</v>
      </c>
      <c r="I460" s="83">
        <f>SUM(I454:I459)</f>
        <v>562570.59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95178.2</v>
      </c>
      <c r="G461" s="42">
        <f>G452+G460</f>
        <v>518249.07</v>
      </c>
      <c r="H461" s="42">
        <f>H452+H460</f>
        <v>12582.32</v>
      </c>
      <c r="I461" s="42">
        <f>I452+I460</f>
        <v>626009.59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239049.59</v>
      </c>
      <c r="G465" s="18">
        <v>0</v>
      </c>
      <c r="H465" s="18">
        <v>0</v>
      </c>
      <c r="I465" s="18"/>
      <c r="J465" s="18">
        <v>604412.37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9878678.1500000004</v>
      </c>
      <c r="G468" s="18">
        <v>142998.6</v>
      </c>
      <c r="H468" s="18">
        <f>H193</f>
        <v>189724.76</v>
      </c>
      <c r="I468" s="18"/>
      <c r="J468" s="18">
        <f>L408</f>
        <v>77186.449999999983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9878678.1500000004</v>
      </c>
      <c r="G470" s="53">
        <f>SUM(G468:G469)</f>
        <v>142998.6</v>
      </c>
      <c r="H470" s="53">
        <f>SUM(H468:H469)</f>
        <v>189724.76</v>
      </c>
      <c r="I470" s="53">
        <f>SUM(I468:I469)</f>
        <v>0</v>
      </c>
      <c r="J470" s="53">
        <f>SUM(J468:J469)</f>
        <v>77186.449999999983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9418860.4100000001</v>
      </c>
      <c r="G472" s="18">
        <v>142998.6</v>
      </c>
      <c r="H472" s="18">
        <f>L352</f>
        <v>189724.75999999998</v>
      </c>
      <c r="I472" s="18"/>
      <c r="J472" s="18">
        <f>L434</f>
        <v>119028.23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9418860.4100000001</v>
      </c>
      <c r="G474" s="53">
        <f>SUM(G472:G473)</f>
        <v>142998.6</v>
      </c>
      <c r="H474" s="53">
        <f>SUM(H472:H473)</f>
        <v>189724.75999999998</v>
      </c>
      <c r="I474" s="53">
        <f>SUM(I472:I473)</f>
        <v>0</v>
      </c>
      <c r="J474" s="53">
        <f>SUM(J472:J473)</f>
        <v>119028.23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698867.33000000007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562570.59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5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 t="s">
        <v>915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 t="s">
        <v>916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2460000</v>
      </c>
      <c r="G493" s="18">
        <v>182000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5.63</v>
      </c>
      <c r="G494" s="18">
        <v>1.62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390000</v>
      </c>
      <c r="G495" s="18">
        <v>182000</v>
      </c>
      <c r="H495" s="18"/>
      <c r="I495" s="18"/>
      <c r="J495" s="18"/>
      <c r="K495" s="53">
        <f>SUM(F495:J495)</f>
        <v>572000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190000</v>
      </c>
      <c r="G497" s="18">
        <v>36400</v>
      </c>
      <c r="H497" s="18"/>
      <c r="I497" s="18"/>
      <c r="J497" s="18"/>
      <c r="K497" s="53">
        <f t="shared" si="35"/>
        <v>226400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200000</v>
      </c>
      <c r="G498" s="204">
        <v>145600</v>
      </c>
      <c r="H498" s="204"/>
      <c r="I498" s="204"/>
      <c r="J498" s="204"/>
      <c r="K498" s="205">
        <f t="shared" si="35"/>
        <v>345600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5748.5</v>
      </c>
      <c r="G499" s="18">
        <v>5903.26</v>
      </c>
      <c r="H499" s="18"/>
      <c r="I499" s="18"/>
      <c r="J499" s="18"/>
      <c r="K499" s="53">
        <f t="shared" si="35"/>
        <v>11651.76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205748.5</v>
      </c>
      <c r="G500" s="42">
        <f>SUM(G498:G499)</f>
        <v>151503.26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357251.76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200000</v>
      </c>
      <c r="G501" s="204">
        <v>36400</v>
      </c>
      <c r="H501" s="204"/>
      <c r="I501" s="204"/>
      <c r="J501" s="204"/>
      <c r="K501" s="205">
        <f t="shared" si="35"/>
        <v>236400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5748.5</v>
      </c>
      <c r="G502" s="18">
        <v>2365.1799999999998</v>
      </c>
      <c r="H502" s="18"/>
      <c r="I502" s="18"/>
      <c r="J502" s="18"/>
      <c r="K502" s="53">
        <f t="shared" si="35"/>
        <v>8113.68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205748.5</v>
      </c>
      <c r="G503" s="42">
        <f>SUM(G501:G502)</f>
        <v>38765.18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244513.68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21803.32</v>
      </c>
      <c r="G507" s="144">
        <v>4711.95</v>
      </c>
      <c r="H507" s="144">
        <v>2027.31</v>
      </c>
      <c r="I507" s="144">
        <v>24487.96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314533.76+65065.21</f>
        <v>379598.97000000003</v>
      </c>
      <c r="G521" s="18">
        <f>141050.32+1492.55</f>
        <v>142542.87</v>
      </c>
      <c r="H521" s="18">
        <v>165179.5</v>
      </c>
      <c r="I521" s="18">
        <v>3172.83</v>
      </c>
      <c r="J521" s="18"/>
      <c r="K521" s="18"/>
      <c r="L521" s="88">
        <f>SUM(F521:K521)</f>
        <v>690494.17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161097.60999999999</v>
      </c>
      <c r="I523" s="18"/>
      <c r="J523" s="18"/>
      <c r="K523" s="18"/>
      <c r="L523" s="88">
        <f>SUM(F523:K523)</f>
        <v>161097.60999999999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379598.97000000003</v>
      </c>
      <c r="G524" s="108">
        <f t="shared" ref="G524:L524" si="36">SUM(G521:G523)</f>
        <v>142542.87</v>
      </c>
      <c r="H524" s="108">
        <f t="shared" si="36"/>
        <v>326277.11</v>
      </c>
      <c r="I524" s="108">
        <f t="shared" si="36"/>
        <v>3172.83</v>
      </c>
      <c r="J524" s="108">
        <f t="shared" si="36"/>
        <v>0</v>
      </c>
      <c r="K524" s="108">
        <f t="shared" si="36"/>
        <v>0</v>
      </c>
      <c r="L524" s="89">
        <f t="shared" si="36"/>
        <v>851591.78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48310.36+38853.78+49904.4</f>
        <v>137068.54</v>
      </c>
      <c r="G526" s="18">
        <v>61462.26</v>
      </c>
      <c r="H526" s="18">
        <f>47418.05+3540+3960+20780.4</f>
        <v>75698.450000000012</v>
      </c>
      <c r="I526" s="18">
        <f>851.91+300</f>
        <v>1151.9099999999999</v>
      </c>
      <c r="J526" s="18"/>
      <c r="K526" s="18"/>
      <c r="L526" s="88">
        <f>SUM(F526:K526)</f>
        <v>275381.15999999997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137068.54</v>
      </c>
      <c r="G529" s="89">
        <f t="shared" ref="G529:L529" si="37">SUM(G526:G528)</f>
        <v>61462.26</v>
      </c>
      <c r="H529" s="89">
        <f t="shared" si="37"/>
        <v>75698.450000000012</v>
      </c>
      <c r="I529" s="89">
        <f t="shared" si="37"/>
        <v>1151.9099999999999</v>
      </c>
      <c r="J529" s="89">
        <f t="shared" si="37"/>
        <v>0</v>
      </c>
      <c r="K529" s="89">
        <f t="shared" si="37"/>
        <v>0</v>
      </c>
      <c r="L529" s="89">
        <f t="shared" si="37"/>
        <v>275381.15999999997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51840</v>
      </c>
      <c r="G531" s="18">
        <v>23247</v>
      </c>
      <c r="H531" s="18">
        <v>3086.38</v>
      </c>
      <c r="I531" s="18"/>
      <c r="J531" s="18"/>
      <c r="K531" s="18"/>
      <c r="L531" s="88">
        <f>SUM(F531:K531)</f>
        <v>78173.38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5760</v>
      </c>
      <c r="G533" s="18">
        <v>2583</v>
      </c>
      <c r="H533" s="18">
        <v>1000</v>
      </c>
      <c r="I533" s="18"/>
      <c r="J533" s="18"/>
      <c r="K533" s="18"/>
      <c r="L533" s="88">
        <f>SUM(F533:K533)</f>
        <v>9343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57600</v>
      </c>
      <c r="G534" s="89">
        <f t="shared" ref="G534:L534" si="38">SUM(G531:G533)</f>
        <v>25830</v>
      </c>
      <c r="H534" s="89">
        <f t="shared" si="38"/>
        <v>4086.38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87516.38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91820.3</v>
      </c>
      <c r="I541" s="18"/>
      <c r="J541" s="18"/>
      <c r="K541" s="18"/>
      <c r="L541" s="88">
        <f>SUM(F541:K541)</f>
        <v>91820.3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11435.04</v>
      </c>
      <c r="I543" s="18"/>
      <c r="J543" s="18"/>
      <c r="K543" s="18"/>
      <c r="L543" s="88">
        <f>SUM(F543:K543)</f>
        <v>11435.04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103255.34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103255.34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574267.51</v>
      </c>
      <c r="G545" s="89">
        <f t="shared" ref="G545:L545" si="41">G524+G529+G534+G539+G544</f>
        <v>229835.13</v>
      </c>
      <c r="H545" s="89">
        <f t="shared" si="41"/>
        <v>509317.28</v>
      </c>
      <c r="I545" s="89">
        <f t="shared" si="41"/>
        <v>4324.74</v>
      </c>
      <c r="J545" s="89">
        <f t="shared" si="41"/>
        <v>0</v>
      </c>
      <c r="K545" s="89">
        <f t="shared" si="41"/>
        <v>0</v>
      </c>
      <c r="L545" s="89">
        <f t="shared" si="41"/>
        <v>1317744.6599999999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690494.17</v>
      </c>
      <c r="G549" s="87">
        <f>L526</f>
        <v>275381.15999999997</v>
      </c>
      <c r="H549" s="87">
        <f>L531</f>
        <v>78173.38</v>
      </c>
      <c r="I549" s="87">
        <f>L536</f>
        <v>0</v>
      </c>
      <c r="J549" s="87">
        <f>L541</f>
        <v>91820.3</v>
      </c>
      <c r="K549" s="87">
        <f>SUM(F549:J549)</f>
        <v>1135869.01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161097.60999999999</v>
      </c>
      <c r="G551" s="87">
        <f>L528</f>
        <v>0</v>
      </c>
      <c r="H551" s="87">
        <f>L533</f>
        <v>9343</v>
      </c>
      <c r="I551" s="87">
        <f>L538</f>
        <v>0</v>
      </c>
      <c r="J551" s="87">
        <f>L543</f>
        <v>11435.04</v>
      </c>
      <c r="K551" s="87">
        <f>SUM(F551:J551)</f>
        <v>181875.65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851591.78</v>
      </c>
      <c r="G552" s="89">
        <f t="shared" si="42"/>
        <v>275381.15999999997</v>
      </c>
      <c r="H552" s="89">
        <f t="shared" si="42"/>
        <v>87516.38</v>
      </c>
      <c r="I552" s="89">
        <f t="shared" si="42"/>
        <v>0</v>
      </c>
      <c r="J552" s="89">
        <f t="shared" si="42"/>
        <v>103255.34</v>
      </c>
      <c r="K552" s="89">
        <f t="shared" si="42"/>
        <v>1317744.6599999999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2765365.88</v>
      </c>
      <c r="I575" s="87">
        <f>SUM(F575:H575)</f>
        <v>2765365.88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11036.25</v>
      </c>
      <c r="G579" s="18"/>
      <c r="H579" s="18">
        <v>34981.99</v>
      </c>
      <c r="I579" s="87">
        <f t="shared" si="47"/>
        <v>46018.239999999998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148907.25</v>
      </c>
      <c r="G582" s="18"/>
      <c r="H582" s="18"/>
      <c r="I582" s="87">
        <f t="shared" si="47"/>
        <v>148907.25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245488.24</v>
      </c>
      <c r="I591" s="18"/>
      <c r="J591" s="18">
        <v>105209.25</v>
      </c>
      <c r="K591" s="104">
        <f t="shared" ref="K591:K597" si="48">SUM(H591:J591)</f>
        <v>350697.49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91820.3</v>
      </c>
      <c r="I592" s="18"/>
      <c r="J592" s="18">
        <v>11435.04</v>
      </c>
      <c r="K592" s="104">
        <f t="shared" si="48"/>
        <v>103255.34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9902.02</v>
      </c>
      <c r="I594" s="18"/>
      <c r="J594" s="18"/>
      <c r="K594" s="104">
        <f t="shared" si="48"/>
        <v>9902.02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10727.27</v>
      </c>
      <c r="I595" s="18"/>
      <c r="J595" s="18"/>
      <c r="K595" s="104">
        <f t="shared" si="48"/>
        <v>10727.27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357937.83</v>
      </c>
      <c r="I598" s="108">
        <f>SUM(I591:I597)</f>
        <v>0</v>
      </c>
      <c r="J598" s="108">
        <f>SUM(J591:J597)</f>
        <v>116644.29000000001</v>
      </c>
      <c r="K598" s="108">
        <f>SUM(K591:K597)</f>
        <v>474582.12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131888.81-709.88+507</f>
        <v>131685.93</v>
      </c>
      <c r="I604" s="18"/>
      <c r="J604" s="18"/>
      <c r="K604" s="104">
        <f>SUM(H604:J604)</f>
        <v>131685.93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131685.93</v>
      </c>
      <c r="I605" s="108">
        <f>SUM(I602:I604)</f>
        <v>0</v>
      </c>
      <c r="J605" s="108">
        <f>SUM(J602:J604)</f>
        <v>0</v>
      </c>
      <c r="K605" s="108">
        <f>SUM(K602:K604)</f>
        <v>131685.93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973558.03</v>
      </c>
      <c r="H617" s="109">
        <f>SUM(F52)</f>
        <v>973558.03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2396.96</v>
      </c>
      <c r="H618" s="109">
        <f>SUM(G52)</f>
        <v>2396.96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17735.330000000002</v>
      </c>
      <c r="H619" s="109">
        <f>SUM(H52)</f>
        <v>17735.330000000002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626009.59</v>
      </c>
      <c r="H621" s="109">
        <f>SUM(J52)</f>
        <v>626009.59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698867.33000000007</v>
      </c>
      <c r="H622" s="109">
        <f>F476</f>
        <v>698867.33000000007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562570.59</v>
      </c>
      <c r="H626" s="109">
        <f>J476</f>
        <v>562570.59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9878678.1500000004</v>
      </c>
      <c r="H627" s="104">
        <f>SUM(F468)</f>
        <v>9878678.1500000004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142998.6</v>
      </c>
      <c r="H628" s="104">
        <f>SUM(G468)</f>
        <v>142998.6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189724.76</v>
      </c>
      <c r="H629" s="104">
        <f>SUM(H468)</f>
        <v>189724.76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77186.45</v>
      </c>
      <c r="H631" s="104">
        <f>SUM(J468)</f>
        <v>77186.449999999983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9418860.4100000001</v>
      </c>
      <c r="H632" s="104">
        <f>SUM(F472)</f>
        <v>9418860.4100000001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189724.75999999998</v>
      </c>
      <c r="H633" s="104">
        <f>SUM(H472)</f>
        <v>189724.75999999998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67285.05</v>
      </c>
      <c r="H634" s="104">
        <f>I369</f>
        <v>67285.05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142998.6</v>
      </c>
      <c r="H635" s="104">
        <f>SUM(G472)</f>
        <v>142998.6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77186.449999999983</v>
      </c>
      <c r="H637" s="164">
        <f>SUM(J468)</f>
        <v>77186.449999999983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119028.23</v>
      </c>
      <c r="H638" s="164">
        <f>SUM(J472)</f>
        <v>119028.23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95178.2</v>
      </c>
      <c r="H639" s="104">
        <f>SUM(F461)</f>
        <v>95178.2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518249.07</v>
      </c>
      <c r="H640" s="104">
        <f>SUM(G461)</f>
        <v>518249.07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12582.32</v>
      </c>
      <c r="H641" s="104">
        <f>SUM(H461)</f>
        <v>12582.32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626009.59</v>
      </c>
      <c r="H642" s="104">
        <f>SUM(I461)</f>
        <v>626009.59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13132.45</v>
      </c>
      <c r="H644" s="104">
        <f>H408</f>
        <v>13132.45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64054</v>
      </c>
      <c r="H645" s="104">
        <f>G408</f>
        <v>64054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77186.45</v>
      </c>
      <c r="H646" s="104">
        <f>L408</f>
        <v>77186.449999999983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474582.12</v>
      </c>
      <c r="H647" s="104">
        <f>L208+L226+L244</f>
        <v>474582.12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131685.93</v>
      </c>
      <c r="H648" s="104">
        <f>(J257+J338)-(J255+J336)</f>
        <v>131685.93000000002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357937.83</v>
      </c>
      <c r="H649" s="104">
        <f>H598</f>
        <v>357937.83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116644.29000000001</v>
      </c>
      <c r="H651" s="104">
        <f>J598</f>
        <v>116644.29000000001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54439.96</v>
      </c>
      <c r="H652" s="104">
        <f>K263+K345</f>
        <v>54439.96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64054</v>
      </c>
      <c r="H655" s="104">
        <f>K266+K347</f>
        <v>64054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6188625.8699999992</v>
      </c>
      <c r="G660" s="19">
        <f>(L229+L309+L359)</f>
        <v>0</v>
      </c>
      <c r="H660" s="19">
        <f>(L247+L328+L360)</f>
        <v>3200875.27</v>
      </c>
      <c r="I660" s="19">
        <f>SUM(F660:H660)</f>
        <v>9389501.1399999987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53859.74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53859.74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357937.83</v>
      </c>
      <c r="G662" s="19">
        <f>(L226+L306)-(J226+J306)</f>
        <v>0</v>
      </c>
      <c r="H662" s="19">
        <f>(L244+L325)-(J244+J325)</f>
        <v>116644.29000000001</v>
      </c>
      <c r="I662" s="19">
        <f>SUM(F662:H662)</f>
        <v>474582.12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291629.43</v>
      </c>
      <c r="G663" s="199">
        <f>SUM(G575:G587)+SUM(I602:I604)+L612</f>
        <v>0</v>
      </c>
      <c r="H663" s="199">
        <f>SUM(H575:H587)+SUM(J602:J604)+L613</f>
        <v>2800347.87</v>
      </c>
      <c r="I663" s="19">
        <f>SUM(F663:H663)</f>
        <v>3091977.3000000003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5485198.8699999992</v>
      </c>
      <c r="G664" s="19">
        <f>G660-SUM(G661:G663)</f>
        <v>0</v>
      </c>
      <c r="H664" s="19">
        <f>H660-SUM(H661:H663)</f>
        <v>283883.10999999987</v>
      </c>
      <c r="I664" s="19">
        <f>I660-SUM(I661:I663)</f>
        <v>5769081.9799999986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402.13</v>
      </c>
      <c r="G665" s="248"/>
      <c r="H665" s="248"/>
      <c r="I665" s="19">
        <f>SUM(F665:H665)</f>
        <v>402.13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13640.36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14346.31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-283883.11</v>
      </c>
      <c r="I669" s="19">
        <f>SUM(F669:H669)</f>
        <v>-283883.11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13640.36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13640.36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sqref="A1:C5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Gilmanton SD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1813773.1700000002</v>
      </c>
      <c r="C9" s="229">
        <f>'DOE25'!G197+'DOE25'!G215+'DOE25'!G233+'DOE25'!G276+'DOE25'!G295+'DOE25'!G314</f>
        <v>814792.79</v>
      </c>
    </row>
    <row r="10" spans="1:3" x14ac:dyDescent="0.2">
      <c r="A10" t="s">
        <v>779</v>
      </c>
      <c r="B10" s="240">
        <f>1448996.37+42726.46+19500</f>
        <v>1511222.83</v>
      </c>
      <c r="C10" s="240">
        <f>689920.27-3123.03+1491.75</f>
        <v>688288.99</v>
      </c>
    </row>
    <row r="11" spans="1:3" x14ac:dyDescent="0.2">
      <c r="A11" t="s">
        <v>780</v>
      </c>
      <c r="B11" s="240">
        <f>264373.99+1338.75</f>
        <v>265712.74</v>
      </c>
      <c r="C11" s="240">
        <v>123800.8</v>
      </c>
    </row>
    <row r="12" spans="1:3" x14ac:dyDescent="0.2">
      <c r="A12" t="s">
        <v>781</v>
      </c>
      <c r="B12" s="240">
        <f>33347.12+1990.48+1500</f>
        <v>36837.600000000006</v>
      </c>
      <c r="C12" s="240">
        <v>2703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1813773.1700000002</v>
      </c>
      <c r="C13" s="231">
        <f>SUM(C10:C12)</f>
        <v>814792.79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361340.76</v>
      </c>
      <c r="C18" s="229">
        <f>'DOE25'!G198+'DOE25'!G216+'DOE25'!G234+'DOE25'!G277+'DOE25'!G296+'DOE25'!G315</f>
        <v>172307.72</v>
      </c>
    </row>
    <row r="19" spans="1:3" x14ac:dyDescent="0.2">
      <c r="A19" t="s">
        <v>779</v>
      </c>
      <c r="B19" s="240">
        <v>147388</v>
      </c>
      <c r="C19" s="240">
        <v>77577.679999999993</v>
      </c>
    </row>
    <row r="20" spans="1:3" x14ac:dyDescent="0.2">
      <c r="A20" t="s">
        <v>780</v>
      </c>
      <c r="B20" s="240">
        <v>167145.76</v>
      </c>
      <c r="C20" s="240">
        <v>63472.639999999999</v>
      </c>
    </row>
    <row r="21" spans="1:3" x14ac:dyDescent="0.2">
      <c r="A21" t="s">
        <v>781</v>
      </c>
      <c r="B21" s="240">
        <v>46807</v>
      </c>
      <c r="C21" s="240">
        <f>10130+400+14154.4+3167+2045+1361</f>
        <v>31257.4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361340.76</v>
      </c>
      <c r="C22" s="231">
        <f>SUM(C19:C21)</f>
        <v>172307.72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37830</v>
      </c>
      <c r="C36" s="235">
        <f>'DOE25'!G200+'DOE25'!G218+'DOE25'!G236+'DOE25'!G279+'DOE25'!G298+'DOE25'!G317</f>
        <v>16964.580000000002</v>
      </c>
    </row>
    <row r="37" spans="1:3" x14ac:dyDescent="0.2">
      <c r="A37" t="s">
        <v>779</v>
      </c>
      <c r="B37" s="240">
        <v>37830</v>
      </c>
      <c r="C37" s="240">
        <v>16964.580000000002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37830</v>
      </c>
      <c r="C40" s="231">
        <f>SUM(C37:C39)</f>
        <v>16964.580000000002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14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Gilmanton SD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6431193.8700000001</v>
      </c>
      <c r="D5" s="20">
        <f>SUM('DOE25'!L197:L200)+SUM('DOE25'!L215:L218)+SUM('DOE25'!L233:L236)-F5-G5</f>
        <v>6416632.7399999993</v>
      </c>
      <c r="E5" s="243"/>
      <c r="F5" s="255">
        <f>SUM('DOE25'!J197:J200)+SUM('DOE25'!J215:J218)+SUM('DOE25'!J233:J236)</f>
        <v>3597.6899999999996</v>
      </c>
      <c r="G5" s="53">
        <f>SUM('DOE25'!K197:K200)+SUM('DOE25'!K215:K218)+SUM('DOE25'!K233:K236)</f>
        <v>10963.44</v>
      </c>
      <c r="H5" s="259"/>
    </row>
    <row r="6" spans="1:9" x14ac:dyDescent="0.2">
      <c r="A6" s="32">
        <v>2100</v>
      </c>
      <c r="B6" t="s">
        <v>801</v>
      </c>
      <c r="C6" s="245">
        <f t="shared" si="0"/>
        <v>489222.69</v>
      </c>
      <c r="D6" s="20">
        <f>'DOE25'!L202+'DOE25'!L220+'DOE25'!L238-F6-G6</f>
        <v>486560.26</v>
      </c>
      <c r="E6" s="243"/>
      <c r="F6" s="255">
        <f>'DOE25'!J202+'DOE25'!J220+'DOE25'!J238</f>
        <v>0</v>
      </c>
      <c r="G6" s="53">
        <f>'DOE25'!K202+'DOE25'!K220+'DOE25'!K238</f>
        <v>2662.43</v>
      </c>
      <c r="H6" s="259"/>
    </row>
    <row r="7" spans="1:9" x14ac:dyDescent="0.2">
      <c r="A7" s="32">
        <v>2200</v>
      </c>
      <c r="B7" t="s">
        <v>834</v>
      </c>
      <c r="C7" s="245">
        <f t="shared" si="0"/>
        <v>318228.84000000003</v>
      </c>
      <c r="D7" s="20">
        <f>'DOE25'!L203+'DOE25'!L221+'DOE25'!L239-F7-G7</f>
        <v>229902.01</v>
      </c>
      <c r="E7" s="243"/>
      <c r="F7" s="255">
        <f>'DOE25'!J203+'DOE25'!J221+'DOE25'!J239</f>
        <v>88326.83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119377.44000000003</v>
      </c>
      <c r="D8" s="243"/>
      <c r="E8" s="20">
        <f>'DOE25'!L204+'DOE25'!L222+'DOE25'!L240-F8-G8-D9-D11</f>
        <v>109834.44000000003</v>
      </c>
      <c r="F8" s="255">
        <f>'DOE25'!J204+'DOE25'!J222+'DOE25'!J240</f>
        <v>0</v>
      </c>
      <c r="G8" s="53">
        <f>'DOE25'!K204+'DOE25'!K222+'DOE25'!K240</f>
        <v>9543</v>
      </c>
      <c r="H8" s="259"/>
    </row>
    <row r="9" spans="1:9" x14ac:dyDescent="0.2">
      <c r="A9" s="32">
        <v>2310</v>
      </c>
      <c r="B9" t="s">
        <v>818</v>
      </c>
      <c r="C9" s="245">
        <f t="shared" si="0"/>
        <v>58570.44</v>
      </c>
      <c r="D9" s="244">
        <v>58570.44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12500</v>
      </c>
      <c r="D10" s="243"/>
      <c r="E10" s="244">
        <v>12500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158748.96</v>
      </c>
      <c r="D11" s="244">
        <f>62424.96+45467+50857</f>
        <v>158748.96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335986.13999999996</v>
      </c>
      <c r="D12" s="20">
        <f>'DOE25'!L205+'DOE25'!L223+'DOE25'!L241-F12-G12</f>
        <v>330716.45999999996</v>
      </c>
      <c r="E12" s="243"/>
      <c r="F12" s="255">
        <f>'DOE25'!J205+'DOE25'!J223+'DOE25'!J241</f>
        <v>5269.68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129500.50000000001</v>
      </c>
      <c r="D13" s="243"/>
      <c r="E13" s="20">
        <f>'DOE25'!L206+'DOE25'!L224+'DOE25'!L242-F13-G13</f>
        <v>125201.02</v>
      </c>
      <c r="F13" s="255">
        <f>'DOE25'!J206+'DOE25'!J224+'DOE25'!J242</f>
        <v>797.13</v>
      </c>
      <c r="G13" s="53">
        <f>'DOE25'!K206+'DOE25'!K224+'DOE25'!K242</f>
        <v>3502.35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541366.77999999991</v>
      </c>
      <c r="D14" s="20">
        <f>'DOE25'!L207+'DOE25'!L225+'DOE25'!L243-F14-G14</f>
        <v>527859.77999999991</v>
      </c>
      <c r="E14" s="243"/>
      <c r="F14" s="255">
        <f>'DOE25'!J207+'DOE25'!J225+'DOE25'!J243</f>
        <v>13507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474582.12</v>
      </c>
      <c r="D15" s="20">
        <f>'DOE25'!L208+'DOE25'!L226+'DOE25'!L244-F15-G15</f>
        <v>474582.12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243588.66999999998</v>
      </c>
      <c r="D25" s="243"/>
      <c r="E25" s="243"/>
      <c r="F25" s="258"/>
      <c r="G25" s="256"/>
      <c r="H25" s="257">
        <f>'DOE25'!L260+'DOE25'!L261+'DOE25'!L341+'DOE25'!L342</f>
        <v>243588.66999999998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81030.350000000006</v>
      </c>
      <c r="D29" s="20">
        <f>'DOE25'!L358+'DOE25'!L359+'DOE25'!L360-'DOE25'!I367-F29-G29</f>
        <v>80320.47</v>
      </c>
      <c r="E29" s="243"/>
      <c r="F29" s="255">
        <f>'DOE25'!J358+'DOE25'!J359+'DOE25'!J360</f>
        <v>709.88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189724.75999999998</v>
      </c>
      <c r="D31" s="20">
        <f>'DOE25'!L290+'DOE25'!L309+'DOE25'!L328+'DOE25'!L333+'DOE25'!L334+'DOE25'!L335-F31-G31</f>
        <v>169537.15999999997</v>
      </c>
      <c r="E31" s="243"/>
      <c r="F31" s="255">
        <f>'DOE25'!J290+'DOE25'!J309+'DOE25'!J328+'DOE25'!J333+'DOE25'!J334+'DOE25'!J335</f>
        <v>20187.599999999999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8933430.4000000004</v>
      </c>
      <c r="E33" s="246">
        <f>SUM(E5:E31)</f>
        <v>247535.46000000002</v>
      </c>
      <c r="F33" s="246">
        <f>SUM(F5:F31)</f>
        <v>132395.81000000003</v>
      </c>
      <c r="G33" s="246">
        <f>SUM(G5:G31)</f>
        <v>26671.22</v>
      </c>
      <c r="H33" s="246">
        <f>SUM(H5:H31)</f>
        <v>243588.66999999998</v>
      </c>
    </row>
    <row r="35" spans="2:8" ht="12" thickBot="1" x14ac:dyDescent="0.25">
      <c r="B35" s="253" t="s">
        <v>847</v>
      </c>
      <c r="D35" s="254">
        <f>E33</f>
        <v>247535.46000000002</v>
      </c>
      <c r="E35" s="249"/>
    </row>
    <row r="36" spans="2:8" ht="12" thickTop="1" x14ac:dyDescent="0.2">
      <c r="B36" t="s">
        <v>815</v>
      </c>
      <c r="D36" s="20">
        <f>D33</f>
        <v>8933430.4000000004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15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Gilmanton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941214.23</v>
      </c>
      <c r="D8" s="95">
        <f>'DOE25'!G9</f>
        <v>75</v>
      </c>
      <c r="E8" s="95">
        <f>'DOE25'!H9</f>
        <v>0</v>
      </c>
      <c r="F8" s="95">
        <f>'DOE25'!I9</f>
        <v>0</v>
      </c>
      <c r="G8" s="95">
        <f>'DOE25'!J9</f>
        <v>626009.59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0.91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32342.89</v>
      </c>
      <c r="D11" s="95">
        <f>'DOE25'!G12</f>
        <v>292.13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2029.83</v>
      </c>
      <c r="E12" s="95">
        <f>'DOE25'!H13</f>
        <v>17735.330000000002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973558.03</v>
      </c>
      <c r="D18" s="41">
        <f>SUM(D8:D17)</f>
        <v>2396.96</v>
      </c>
      <c r="E18" s="41">
        <f>SUM(E8:E17)</f>
        <v>17735.330000000002</v>
      </c>
      <c r="F18" s="41">
        <f>SUM(F8:F17)</f>
        <v>0</v>
      </c>
      <c r="G18" s="41">
        <f>SUM(G8:G17)</f>
        <v>626009.59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292.13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63439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9536.33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61600.22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195864.61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16933.740000000002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2396.96</v>
      </c>
      <c r="E29" s="95">
        <f>'DOE25'!H30</f>
        <v>8199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274690.7</v>
      </c>
      <c r="D31" s="41">
        <f>SUM(D21:D30)</f>
        <v>2396.96</v>
      </c>
      <c r="E31" s="41">
        <f>SUM(E21:E30)</f>
        <v>17735.330000000002</v>
      </c>
      <c r="F31" s="41">
        <f>SUM(F21:F30)</f>
        <v>0</v>
      </c>
      <c r="G31" s="41">
        <f>SUM(G21:G30)</f>
        <v>63439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562570.59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64913.4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633953.93000000005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698867.33000000007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562570.59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973558.03</v>
      </c>
      <c r="D51" s="41">
        <f>D50+D31</f>
        <v>2396.96</v>
      </c>
      <c r="E51" s="41">
        <f>E50+E31</f>
        <v>17735.330000000002</v>
      </c>
      <c r="F51" s="41">
        <f>F50+F31</f>
        <v>0</v>
      </c>
      <c r="G51" s="41">
        <f>G50+G31</f>
        <v>626009.59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7533018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1611.02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13132.45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52696.67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-1932.9</v>
      </c>
      <c r="D61" s="95">
        <f>SUM('DOE25'!G98:G110)</f>
        <v>1163.07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-321.88000000000011</v>
      </c>
      <c r="D62" s="130">
        <f>SUM(D57:D61)</f>
        <v>53859.74</v>
      </c>
      <c r="E62" s="130">
        <f>SUM(E57:E61)</f>
        <v>0</v>
      </c>
      <c r="F62" s="130">
        <f>SUM(F57:F61)</f>
        <v>0</v>
      </c>
      <c r="G62" s="130">
        <f>SUM(G57:G61)</f>
        <v>13132.45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7532696.1200000001</v>
      </c>
      <c r="D63" s="22">
        <f>D56+D62</f>
        <v>53859.74</v>
      </c>
      <c r="E63" s="22">
        <f>E56+E62</f>
        <v>0</v>
      </c>
      <c r="F63" s="22">
        <f>F56+F62</f>
        <v>0</v>
      </c>
      <c r="G63" s="22">
        <f>G56+G62</f>
        <v>13132.45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1043448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1031410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5137.8100000000004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2079995.81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63353.599999999999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26689.22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1821.87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90042.82</v>
      </c>
      <c r="D78" s="130">
        <f>SUM(D72:D77)</f>
        <v>1821.87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2170038.63</v>
      </c>
      <c r="D81" s="130">
        <f>SUM(D79:D80)+D78+D70</f>
        <v>1821.87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1338.75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91960.17</v>
      </c>
      <c r="D88" s="95">
        <f>SUM('DOE25'!G153:G161)</f>
        <v>32877.03</v>
      </c>
      <c r="E88" s="95">
        <f>SUM('DOE25'!H153:H161)</f>
        <v>188386.01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91960.17</v>
      </c>
      <c r="D91" s="131">
        <f>SUM(D85:D90)</f>
        <v>32877.03</v>
      </c>
      <c r="E91" s="131">
        <f>SUM(E85:E90)</f>
        <v>189724.76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54439.96</v>
      </c>
      <c r="E96" s="95">
        <f>'DOE25'!H179</f>
        <v>0</v>
      </c>
      <c r="F96" s="95">
        <f>'DOE25'!I179</f>
        <v>0</v>
      </c>
      <c r="G96" s="95">
        <f>'DOE25'!J179</f>
        <v>64054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83983.23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83983.23</v>
      </c>
      <c r="D103" s="86">
        <f>SUM(D93:D102)</f>
        <v>54439.96</v>
      </c>
      <c r="E103" s="86">
        <f>SUM(E93:E102)</f>
        <v>0</v>
      </c>
      <c r="F103" s="86">
        <f>SUM(F93:F102)</f>
        <v>0</v>
      </c>
      <c r="G103" s="86">
        <f>SUM(G93:G102)</f>
        <v>64054</v>
      </c>
    </row>
    <row r="104" spans="1:7" ht="12.75" thickTop="1" thickBot="1" x14ac:dyDescent="0.25">
      <c r="A104" s="33" t="s">
        <v>765</v>
      </c>
      <c r="C104" s="86">
        <f>C63+C81+C91+C103</f>
        <v>9878678.1500000004</v>
      </c>
      <c r="D104" s="86">
        <f>D63+D81+D91+D103</f>
        <v>142998.6</v>
      </c>
      <c r="E104" s="86">
        <f>E63+E81+E91+E103</f>
        <v>189724.76</v>
      </c>
      <c r="F104" s="86">
        <f>F63+F81+F91+F103</f>
        <v>0</v>
      </c>
      <c r="G104" s="86">
        <f>G63+G81+G103</f>
        <v>77186.45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5566066.8300000001</v>
      </c>
      <c r="D109" s="24" t="s">
        <v>289</v>
      </c>
      <c r="E109" s="95">
        <f>('DOE25'!L276)+('DOE25'!L295)+('DOE25'!L314)</f>
        <v>66557.759999999995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785034.02</v>
      </c>
      <c r="D110" s="24" t="s">
        <v>289</v>
      </c>
      <c r="E110" s="95">
        <f>('DOE25'!L277)+('DOE25'!L296)+('DOE25'!L315)</f>
        <v>78064.399999999994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80093.02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6431193.8699999992</v>
      </c>
      <c r="D115" s="86">
        <f>SUM(D109:D114)</f>
        <v>0</v>
      </c>
      <c r="E115" s="86">
        <f>SUM(E109:E114)</f>
        <v>144622.15999999997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489222.69</v>
      </c>
      <c r="D118" s="24" t="s">
        <v>289</v>
      </c>
      <c r="E118" s="95">
        <f>+('DOE25'!L281)+('DOE25'!L300)+('DOE25'!L319)</f>
        <v>36961.599999999999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318228.84000000003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336696.84</v>
      </c>
      <c r="D120" s="24" t="s">
        <v>289</v>
      </c>
      <c r="E120" s="95">
        <f>+('DOE25'!L283)+('DOE25'!L302)+('DOE25'!L321)</f>
        <v>8141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335986.13999999996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129500.50000000001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541366.77999999991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474582.12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142998.6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2625583.91</v>
      </c>
      <c r="D128" s="86">
        <f>SUM(D118:D127)</f>
        <v>142998.6</v>
      </c>
      <c r="E128" s="86">
        <f>SUM(E118:E127)</f>
        <v>45102.6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226400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17188.669999999998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119028.23</v>
      </c>
    </row>
    <row r="135" spans="1:7" x14ac:dyDescent="0.2">
      <c r="A135" t="s">
        <v>233</v>
      </c>
      <c r="B135" s="32" t="s">
        <v>234</v>
      </c>
      <c r="C135" s="95">
        <f>'DOE25'!L263</f>
        <v>54439.96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45788.74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31135.53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262.18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-13132.449999999983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362082.63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119028.23</v>
      </c>
    </row>
    <row r="145" spans="1:9" ht="12.75" thickTop="1" thickBot="1" x14ac:dyDescent="0.25">
      <c r="A145" s="33" t="s">
        <v>244</v>
      </c>
      <c r="C145" s="86">
        <f>(C115+C128+C144)</f>
        <v>9418860.4100000001</v>
      </c>
      <c r="D145" s="86">
        <f>(D115+D128+D144)</f>
        <v>142998.6</v>
      </c>
      <c r="E145" s="86">
        <f>(E115+E128+E144)</f>
        <v>189724.75999999998</v>
      </c>
      <c r="F145" s="86">
        <f>(F115+F128+F144)</f>
        <v>0</v>
      </c>
      <c r="G145" s="86">
        <f>(G115+G128+G144)</f>
        <v>119028.23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5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08/96</v>
      </c>
      <c r="C152" s="152" t="str">
        <f>'DOE25'!G491</f>
        <v>05/15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02/17</v>
      </c>
      <c r="C153" s="152" t="str">
        <f>'DOE25'!G492</f>
        <v>07/09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2460000</v>
      </c>
      <c r="C154" s="137">
        <f>'DOE25'!G493</f>
        <v>182000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5.63</v>
      </c>
      <c r="C155" s="137">
        <f>'DOE25'!G494</f>
        <v>1.62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390000</v>
      </c>
      <c r="C156" s="137">
        <f>'DOE25'!G495</f>
        <v>182000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572000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190000</v>
      </c>
      <c r="C158" s="137">
        <f>'DOE25'!G497</f>
        <v>36400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226400</v>
      </c>
    </row>
    <row r="159" spans="1:9" x14ac:dyDescent="0.2">
      <c r="A159" s="22" t="s">
        <v>35</v>
      </c>
      <c r="B159" s="137">
        <f>'DOE25'!F498</f>
        <v>200000</v>
      </c>
      <c r="C159" s="137">
        <f>'DOE25'!G498</f>
        <v>145600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345600</v>
      </c>
    </row>
    <row r="160" spans="1:9" x14ac:dyDescent="0.2">
      <c r="A160" s="22" t="s">
        <v>36</v>
      </c>
      <c r="B160" s="137">
        <f>'DOE25'!F499</f>
        <v>5748.5</v>
      </c>
      <c r="C160" s="137">
        <f>'DOE25'!G499</f>
        <v>5903.26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11651.76</v>
      </c>
    </row>
    <row r="161" spans="1:7" x14ac:dyDescent="0.2">
      <c r="A161" s="22" t="s">
        <v>37</v>
      </c>
      <c r="B161" s="137">
        <f>'DOE25'!F500</f>
        <v>205748.5</v>
      </c>
      <c r="C161" s="137">
        <f>'DOE25'!G500</f>
        <v>151503.26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357251.76</v>
      </c>
    </row>
    <row r="162" spans="1:7" x14ac:dyDescent="0.2">
      <c r="A162" s="22" t="s">
        <v>38</v>
      </c>
      <c r="B162" s="137">
        <f>'DOE25'!F501</f>
        <v>200000</v>
      </c>
      <c r="C162" s="137">
        <f>'DOE25'!G501</f>
        <v>36400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236400</v>
      </c>
    </row>
    <row r="163" spans="1:7" x14ac:dyDescent="0.2">
      <c r="A163" s="22" t="s">
        <v>39</v>
      </c>
      <c r="B163" s="137">
        <f>'DOE25'!F502</f>
        <v>5748.5</v>
      </c>
      <c r="C163" s="137">
        <f>'DOE25'!G502</f>
        <v>2365.1799999999998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8113.68</v>
      </c>
    </row>
    <row r="164" spans="1:7" x14ac:dyDescent="0.2">
      <c r="A164" s="22" t="s">
        <v>246</v>
      </c>
      <c r="B164" s="137">
        <f>'DOE25'!F503</f>
        <v>205748.5</v>
      </c>
      <c r="C164" s="137">
        <f>'DOE25'!G503</f>
        <v>38765.18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244513.68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Gilmanton SD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13640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13640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5632625</v>
      </c>
      <c r="D10" s="182">
        <f>ROUND((C10/$C$28)*100,1)</f>
        <v>60.2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863098</v>
      </c>
      <c r="D11" s="182">
        <f>ROUND((C11/$C$28)*100,1)</f>
        <v>9.1999999999999993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80093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526184</v>
      </c>
      <c r="D15" s="182">
        <f t="shared" ref="D15:D27" si="0">ROUND((C15/$C$28)*100,1)</f>
        <v>5.6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318229</v>
      </c>
      <c r="D16" s="182">
        <f t="shared" si="0"/>
        <v>3.4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344838</v>
      </c>
      <c r="D17" s="182">
        <f t="shared" si="0"/>
        <v>3.7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335986</v>
      </c>
      <c r="D18" s="182">
        <f t="shared" si="0"/>
        <v>3.6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129501</v>
      </c>
      <c r="D19" s="182">
        <f t="shared" si="0"/>
        <v>1.4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541367</v>
      </c>
      <c r="D20" s="182">
        <f t="shared" si="0"/>
        <v>5.8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474582</v>
      </c>
      <c r="D21" s="182">
        <f t="shared" si="0"/>
        <v>5.0999999999999996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17189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89139.260000000009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9352831.2599999998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9352831.2599999998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226400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7533018</v>
      </c>
      <c r="D35" s="182">
        <f t="shared" ref="D35:D40" si="1">ROUND((C35/$C$41)*100,1)</f>
        <v>75.099999999999994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12810.570000000298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2074858</v>
      </c>
      <c r="D37" s="182">
        <f t="shared" si="1"/>
        <v>20.7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97003</v>
      </c>
      <c r="D38" s="182">
        <f t="shared" si="1"/>
        <v>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314562</v>
      </c>
      <c r="D39" s="182">
        <f t="shared" si="1"/>
        <v>3.1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10032251.57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Gilmanton SD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2016-10-17T19:02:11Z</cp:lastPrinted>
  <dcterms:created xsi:type="dcterms:W3CDTF">1997-12-04T19:04:30Z</dcterms:created>
  <dcterms:modified xsi:type="dcterms:W3CDTF">2016-10-17T19:02:15Z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