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34" i="1" l="1"/>
  <c r="H216" i="1"/>
  <c r="H198" i="1"/>
  <c r="B39" i="12"/>
  <c r="F9" i="1"/>
  <c r="H465" i="1" l="1"/>
  <c r="F472" i="1"/>
  <c r="H604" i="1" l="1"/>
  <c r="J604" i="1"/>
  <c r="I604" i="1"/>
  <c r="H543" i="1"/>
  <c r="H542" i="1"/>
  <c r="H541" i="1"/>
  <c r="J591" i="1"/>
  <c r="I521" i="1" l="1"/>
  <c r="H521" i="1"/>
  <c r="J523" i="1"/>
  <c r="J522" i="1"/>
  <c r="F499" i="1"/>
  <c r="F498" i="1"/>
  <c r="H24" i="1" l="1"/>
  <c r="F30" i="1"/>
  <c r="H155" i="1"/>
  <c r="H102" i="1"/>
  <c r="G158" i="1"/>
  <c r="G97" i="1"/>
  <c r="F110" i="1"/>
  <c r="F101" i="1"/>
  <c r="F63" i="1"/>
  <c r="K360" i="1"/>
  <c r="I360" i="1"/>
  <c r="H360" i="1"/>
  <c r="G360" i="1"/>
  <c r="F360" i="1"/>
  <c r="K359" i="1"/>
  <c r="J359" i="1"/>
  <c r="I359" i="1"/>
  <c r="H359" i="1"/>
  <c r="G359" i="1"/>
  <c r="F359" i="1"/>
  <c r="J358" i="1"/>
  <c r="I358" i="1"/>
  <c r="H358" i="1"/>
  <c r="G358" i="1"/>
  <c r="F358" i="1"/>
  <c r="K358" i="1"/>
  <c r="G333" i="1"/>
  <c r="H333" i="1"/>
  <c r="G317" i="1"/>
  <c r="G315" i="1"/>
  <c r="F315" i="1"/>
  <c r="G296" i="1"/>
  <c r="F296" i="1"/>
  <c r="G277" i="1"/>
  <c r="G521" i="1" s="1"/>
  <c r="F277" i="1"/>
  <c r="F521" i="1" s="1"/>
  <c r="G276" i="1"/>
  <c r="I276" i="1"/>
  <c r="F276" i="1"/>
  <c r="H244" i="1" l="1"/>
  <c r="I243" i="1"/>
  <c r="H243" i="1"/>
  <c r="G243" i="1"/>
  <c r="F243" i="1"/>
  <c r="H241" i="1"/>
  <c r="G241" i="1"/>
  <c r="H239" i="1"/>
  <c r="G239" i="1"/>
  <c r="F239" i="1"/>
  <c r="I238" i="1"/>
  <c r="H238" i="1"/>
  <c r="I234" i="1"/>
  <c r="I523" i="1" s="1"/>
  <c r="H523" i="1"/>
  <c r="G234" i="1"/>
  <c r="G523" i="1" s="1"/>
  <c r="F234" i="1"/>
  <c r="F523" i="1" s="1"/>
  <c r="J233" i="1"/>
  <c r="I233" i="1"/>
  <c r="H233" i="1"/>
  <c r="G233" i="1"/>
  <c r="F233" i="1"/>
  <c r="I225" i="1"/>
  <c r="H225" i="1"/>
  <c r="G225" i="1"/>
  <c r="F225" i="1"/>
  <c r="H223" i="1"/>
  <c r="G223" i="1"/>
  <c r="H221" i="1"/>
  <c r="G221" i="1"/>
  <c r="F221" i="1"/>
  <c r="I220" i="1"/>
  <c r="H220" i="1"/>
  <c r="I216" i="1"/>
  <c r="I522" i="1" s="1"/>
  <c r="H522" i="1"/>
  <c r="G216" i="1"/>
  <c r="G522" i="1" s="1"/>
  <c r="F216" i="1"/>
  <c r="F522" i="1" s="1"/>
  <c r="J215" i="1"/>
  <c r="I215" i="1"/>
  <c r="H215" i="1"/>
  <c r="G215" i="1"/>
  <c r="F215" i="1"/>
  <c r="H208" i="1"/>
  <c r="I207" i="1"/>
  <c r="H207" i="1"/>
  <c r="G207" i="1"/>
  <c r="F207" i="1"/>
  <c r="H205" i="1" l="1"/>
  <c r="G205" i="1"/>
  <c r="H203" i="1"/>
  <c r="G203" i="1"/>
  <c r="F203" i="1"/>
  <c r="I202" i="1"/>
  <c r="H202" i="1"/>
  <c r="G200" i="1"/>
  <c r="I198" i="1"/>
  <c r="G198" i="1"/>
  <c r="F198" i="1"/>
  <c r="J197" i="1"/>
  <c r="I197" i="1"/>
  <c r="H197" i="1"/>
  <c r="G197" i="1"/>
  <c r="F197" i="1"/>
  <c r="H282" i="1" l="1"/>
  <c r="G282" i="1"/>
  <c r="F282" i="1"/>
  <c r="I282" i="1"/>
  <c r="H240" i="1" l="1"/>
  <c r="H222" i="1"/>
  <c r="H204" i="1"/>
  <c r="G240" i="1"/>
  <c r="F240" i="1" l="1"/>
  <c r="G222" i="1"/>
  <c r="F222" i="1"/>
  <c r="G204" i="1"/>
  <c r="F20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C110" i="2" s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L317" i="1"/>
  <c r="E112" i="2" s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L250" i="1"/>
  <c r="L332" i="1"/>
  <c r="L254" i="1"/>
  <c r="L268" i="1"/>
  <c r="L269" i="1"/>
  <c r="L349" i="1"/>
  <c r="L350" i="1"/>
  <c r="I665" i="1"/>
  <c r="I670" i="1"/>
  <c r="F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D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C113" i="2"/>
  <c r="E113" i="2"/>
  <c r="C114" i="2"/>
  <c r="E114" i="2"/>
  <c r="D115" i="2"/>
  <c r="F115" i="2"/>
  <c r="G115" i="2"/>
  <c r="E118" i="2"/>
  <c r="E120" i="2"/>
  <c r="E121" i="2"/>
  <c r="C122" i="2"/>
  <c r="E123" i="2"/>
  <c r="E124" i="2"/>
  <c r="C125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F452" i="1"/>
  <c r="G452" i="1"/>
  <c r="H452" i="1"/>
  <c r="I452" i="1"/>
  <c r="F460" i="1"/>
  <c r="G460" i="1"/>
  <c r="G461" i="1" s="1"/>
  <c r="H640" i="1" s="1"/>
  <c r="H460" i="1"/>
  <c r="I460" i="1"/>
  <c r="F461" i="1"/>
  <c r="H461" i="1"/>
  <c r="I461" i="1"/>
  <c r="F470" i="1"/>
  <c r="G470" i="1"/>
  <c r="H470" i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K257" i="1"/>
  <c r="K271" i="1" s="1"/>
  <c r="C18" i="2"/>
  <c r="C26" i="10"/>
  <c r="L328" i="1"/>
  <c r="L351" i="1"/>
  <c r="A31" i="12"/>
  <c r="D18" i="13"/>
  <c r="C18" i="13" s="1"/>
  <c r="D15" i="13"/>
  <c r="C15" i="13" s="1"/>
  <c r="D7" i="13"/>
  <c r="C7" i="13" s="1"/>
  <c r="D17" i="13"/>
  <c r="C17" i="13" s="1"/>
  <c r="D6" i="13"/>
  <c r="C6" i="13" s="1"/>
  <c r="D31" i="2"/>
  <c r="D50" i="2"/>
  <c r="G161" i="2"/>
  <c r="E62" i="2"/>
  <c r="E63" i="2" s="1"/>
  <c r="D19" i="13"/>
  <c r="C19" i="13" s="1"/>
  <c r="E13" i="13"/>
  <c r="C13" i="13" s="1"/>
  <c r="L427" i="1"/>
  <c r="J257" i="1"/>
  <c r="J271" i="1" s="1"/>
  <c r="F112" i="1"/>
  <c r="J641" i="1"/>
  <c r="J639" i="1"/>
  <c r="J571" i="1"/>
  <c r="K571" i="1"/>
  <c r="L433" i="1"/>
  <c r="L419" i="1"/>
  <c r="I169" i="1"/>
  <c r="H169" i="1"/>
  <c r="G552" i="1"/>
  <c r="J644" i="1"/>
  <c r="J643" i="1"/>
  <c r="J476" i="1"/>
  <c r="H626" i="1" s="1"/>
  <c r="H476" i="1"/>
  <c r="H624" i="1" s="1"/>
  <c r="G476" i="1"/>
  <c r="H623" i="1" s="1"/>
  <c r="J623" i="1" s="1"/>
  <c r="F169" i="1"/>
  <c r="J140" i="1"/>
  <c r="G22" i="2"/>
  <c r="K545" i="1"/>
  <c r="H552" i="1"/>
  <c r="H140" i="1"/>
  <c r="L401" i="1"/>
  <c r="C139" i="2" s="1"/>
  <c r="L393" i="1"/>
  <c r="F22" i="13"/>
  <c r="H25" i="13"/>
  <c r="C25" i="13" s="1"/>
  <c r="L560" i="1"/>
  <c r="J545" i="1"/>
  <c r="G192" i="1"/>
  <c r="H192" i="1"/>
  <c r="C35" i="10"/>
  <c r="L309" i="1"/>
  <c r="E16" i="13"/>
  <c r="C16" i="13" s="1"/>
  <c r="J655" i="1"/>
  <c r="J645" i="1"/>
  <c r="L570" i="1"/>
  <c r="I545" i="1"/>
  <c r="G36" i="2"/>
  <c r="L565" i="1"/>
  <c r="C22" i="13"/>
  <c r="C138" i="2"/>
  <c r="A40" i="12" l="1"/>
  <c r="A13" i="12"/>
  <c r="G624" i="1"/>
  <c r="J624" i="1" s="1"/>
  <c r="J640" i="1"/>
  <c r="J338" i="1"/>
  <c r="J352" i="1" s="1"/>
  <c r="I571" i="1"/>
  <c r="K550" i="1"/>
  <c r="H571" i="1"/>
  <c r="G164" i="2"/>
  <c r="H338" i="1"/>
  <c r="H352" i="1" s="1"/>
  <c r="E103" i="2"/>
  <c r="D62" i="2"/>
  <c r="D63" i="2" s="1"/>
  <c r="F18" i="2"/>
  <c r="H662" i="1"/>
  <c r="F571" i="1"/>
  <c r="G157" i="2"/>
  <c r="G156" i="2"/>
  <c r="C91" i="2"/>
  <c r="D81" i="2"/>
  <c r="E78" i="2"/>
  <c r="E81" i="2" s="1"/>
  <c r="F78" i="2"/>
  <c r="F81" i="2" s="1"/>
  <c r="C70" i="2"/>
  <c r="E31" i="2"/>
  <c r="D18" i="2"/>
  <c r="I552" i="1"/>
  <c r="G62" i="2"/>
  <c r="D29" i="13"/>
  <c r="C29" i="13" s="1"/>
  <c r="G662" i="1"/>
  <c r="I662" i="1" s="1"/>
  <c r="J552" i="1"/>
  <c r="L544" i="1"/>
  <c r="H545" i="1"/>
  <c r="L539" i="1"/>
  <c r="K551" i="1"/>
  <c r="K605" i="1"/>
  <c r="G648" i="1" s="1"/>
  <c r="K598" i="1"/>
  <c r="G647" i="1" s="1"/>
  <c r="J647" i="1" s="1"/>
  <c r="J649" i="1"/>
  <c r="G81" i="2"/>
  <c r="C78" i="2"/>
  <c r="C81" i="2" s="1"/>
  <c r="G545" i="1"/>
  <c r="K549" i="1"/>
  <c r="K552" i="1" s="1"/>
  <c r="F552" i="1"/>
  <c r="L524" i="1"/>
  <c r="K503" i="1"/>
  <c r="I476" i="1"/>
  <c r="H625" i="1" s="1"/>
  <c r="J625" i="1" s="1"/>
  <c r="I52" i="1"/>
  <c r="H620" i="1" s="1"/>
  <c r="J622" i="1"/>
  <c r="J617" i="1"/>
  <c r="C62" i="2"/>
  <c r="C63" i="2" s="1"/>
  <c r="C29" i="10"/>
  <c r="F130" i="2"/>
  <c r="F144" i="2" s="1"/>
  <c r="F145" i="2" s="1"/>
  <c r="L382" i="1"/>
  <c r="G636" i="1" s="1"/>
  <c r="J636" i="1" s="1"/>
  <c r="J634" i="1"/>
  <c r="D127" i="2"/>
  <c r="D128" i="2" s="1"/>
  <c r="D145" i="2" s="1"/>
  <c r="G661" i="1"/>
  <c r="C25" i="10"/>
  <c r="H33" i="13"/>
  <c r="L256" i="1"/>
  <c r="D12" i="13"/>
  <c r="C12" i="13" s="1"/>
  <c r="C13" i="10"/>
  <c r="C121" i="2"/>
  <c r="H661" i="1"/>
  <c r="F661" i="1"/>
  <c r="L362" i="1"/>
  <c r="G635" i="1" s="1"/>
  <c r="J635" i="1" s="1"/>
  <c r="C19" i="10"/>
  <c r="E122" i="2"/>
  <c r="G338" i="1"/>
  <c r="G352" i="1" s="1"/>
  <c r="E119" i="2"/>
  <c r="C11" i="10"/>
  <c r="E109" i="2"/>
  <c r="E115" i="2" s="1"/>
  <c r="F338" i="1"/>
  <c r="F352" i="1" s="1"/>
  <c r="L290" i="1"/>
  <c r="C21" i="10"/>
  <c r="C124" i="2"/>
  <c r="C123" i="2"/>
  <c r="C20" i="10"/>
  <c r="D14" i="13"/>
  <c r="C14" i="13" s="1"/>
  <c r="C18" i="10"/>
  <c r="C120" i="2"/>
  <c r="E8" i="13"/>
  <c r="C8" i="13" s="1"/>
  <c r="C17" i="10"/>
  <c r="C119" i="2"/>
  <c r="C16" i="10"/>
  <c r="C15" i="10"/>
  <c r="C118" i="2"/>
  <c r="I257" i="1"/>
  <c r="I271" i="1" s="1"/>
  <c r="C112" i="2"/>
  <c r="G257" i="1"/>
  <c r="G271" i="1" s="1"/>
  <c r="H257" i="1"/>
  <c r="H271" i="1" s="1"/>
  <c r="L247" i="1"/>
  <c r="H660" i="1" s="1"/>
  <c r="L229" i="1"/>
  <c r="G660" i="1" s="1"/>
  <c r="F257" i="1"/>
  <c r="F271" i="1" s="1"/>
  <c r="C10" i="10"/>
  <c r="D5" i="13"/>
  <c r="C5" i="13" s="1"/>
  <c r="C109" i="2"/>
  <c r="C115" i="2" s="1"/>
  <c r="L211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A22" i="12"/>
  <c r="H646" i="1"/>
  <c r="G50" i="2"/>
  <c r="G51" i="2" s="1"/>
  <c r="H648" i="1"/>
  <c r="J652" i="1"/>
  <c r="J642" i="1"/>
  <c r="G571" i="1"/>
  <c r="I434" i="1"/>
  <c r="G434" i="1"/>
  <c r="E104" i="2"/>
  <c r="I663" i="1"/>
  <c r="E51" i="2" l="1"/>
  <c r="C104" i="2"/>
  <c r="L545" i="1"/>
  <c r="J648" i="1"/>
  <c r="G104" i="2"/>
  <c r="F51" i="2"/>
  <c r="F104" i="2"/>
  <c r="I193" i="1"/>
  <c r="G630" i="1" s="1"/>
  <c r="J630" i="1" s="1"/>
  <c r="G664" i="1"/>
  <c r="G667" i="1" s="1"/>
  <c r="H664" i="1"/>
  <c r="H667" i="1" s="1"/>
  <c r="C27" i="10"/>
  <c r="C28" i="10" s="1"/>
  <c r="D23" i="10" s="1"/>
  <c r="I661" i="1"/>
  <c r="E128" i="2"/>
  <c r="E145" i="2" s="1"/>
  <c r="L338" i="1"/>
  <c r="L352" i="1" s="1"/>
  <c r="G633" i="1" s="1"/>
  <c r="J633" i="1" s="1"/>
  <c r="D31" i="13"/>
  <c r="C31" i="13" s="1"/>
  <c r="F660" i="1"/>
  <c r="F664" i="1" s="1"/>
  <c r="F672" i="1" s="1"/>
  <c r="C4" i="10" s="1"/>
  <c r="F33" i="13"/>
  <c r="E33" i="13"/>
  <c r="D35" i="13" s="1"/>
  <c r="C128" i="2"/>
  <c r="C145" i="2" s="1"/>
  <c r="L257" i="1"/>
  <c r="L271" i="1" s="1"/>
  <c r="G632" i="1" s="1"/>
  <c r="J632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H672" i="1"/>
  <c r="C6" i="10" s="1"/>
  <c r="D33" i="13"/>
  <c r="D36" i="13" s="1"/>
  <c r="I660" i="1"/>
  <c r="I664" i="1" s="1"/>
  <c r="I672" i="1" s="1"/>
  <c r="C7" i="10" s="1"/>
  <c r="F667" i="1"/>
  <c r="D25" i="10"/>
  <c r="D19" i="10"/>
  <c r="D13" i="10"/>
  <c r="D22" i="10"/>
  <c r="D18" i="10"/>
  <c r="D17" i="10"/>
  <c r="D27" i="10"/>
  <c r="D15" i="10"/>
  <c r="D21" i="10"/>
  <c r="D24" i="10"/>
  <c r="D20" i="10"/>
  <c r="D11" i="10"/>
  <c r="D12" i="10"/>
  <c r="D10" i="10"/>
  <c r="D26" i="10"/>
  <c r="C30" i="10"/>
  <c r="D16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<sst xmlns="http://schemas.openxmlformats.org/spreadsheetml/2006/main" count="3958" uniqueCount="916">
  <si>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</si>
  <si>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</si>
  <si>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</si>
  <si>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</si>
  <si>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</si>
  <si>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</si>
  <si>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</si>
  <si>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</si>
  <si>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</si>
  <si>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</si>
  <si>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</si>
  <si>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</si>
  <si>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</si>
  <si>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</si>
  <si>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</si>
  <si>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</si>
  <si>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</si>
  <si>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</si>
  <si>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</si>
  <si>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</si>
  <si>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</si>
  <si>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</si>
  <si>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</si>
  <si>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</si>
  <si>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</si>
  <si>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</si>
  <si>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</si>
  <si>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</si>
  <si>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</si>
  <si>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</si>
  <si>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</si>
  <si>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</si>
  <si>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</si>
  <si>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</si>
  <si>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</si>
  <si>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</si>
  <si>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</si>
  <si>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</si>
  <si>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</si>
  <si>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</si>
  <si>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</si>
  <si>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</si>
  <si>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</si>
  <si>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</si>
  <si>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</si>
  <si>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</si>
  <si>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</si>
  <si>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</si>
  <si>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</si>
  <si>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</si>
  <si>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</si>
  <si>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</si>
  <si>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</si>
  <si>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</si>
  <si>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</si>
  <si>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</si>
  <si>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</si>
  <si>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</si>
  <si>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</si>
  <si>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</si>
  <si>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</si>
  <si>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</si>
  <si>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</si>
  <si>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</si>
  <si>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</si>
  <si>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</si>
  <si>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</si>
  <si>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</si>
  <si>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</si>
  <si>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</si>
  <si>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</si>
  <si>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</si>
  <si>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</si>
  <si>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</si>
  <si>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</si>
  <si>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</si>
  <si>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</si>
  <si>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</si>
  <si>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</si>
  <si>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</si>
  <si>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</si>
  <si>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</si>
  <si>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</si>
  <si>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</si>
  <si>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</si>
  <si>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</si>
  <si>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</si>
  <si>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</si>
  <si>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</si>
  <si>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</si>
  <si>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</si>
  <si>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</si>
  <si>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</si>
  <si>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</si>
  <si>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</si>
  <si>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</si>
  <si>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</si>
  <si>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</si>
  <si>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</si>
  <si>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</si>
  <si>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</si>
  <si>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</si>
  <si>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</si>
  <si>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</si>
  <si>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</si>
  <si>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</si>
  <si>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</si>
  <si>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</si>
  <si>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</si>
  <si>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</si>
  <si>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</si>
  <si>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</si>
  <si>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</si>
  <si>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</si>
  <si>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</si>
  <si>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</si>
  <si>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</si>
  <si>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</si>
  <si>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</si>
  <si>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</si>
  <si>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</si>
  <si>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</si>
  <si>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</si>
  <si>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</si>
  <si>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</si>
  <si>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</si>
  <si>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</si>
  <si>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</si>
  <si>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</si>
  <si>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</si>
  <si>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</si>
  <si>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</si>
  <si>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</si>
  <si>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</si>
  <si>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</si>
  <si>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</si>
  <si>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</si>
  <si>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</si>
  <si>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</si>
  <si>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</si>
  <si>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</si>
  <si>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</si>
  <si>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</si>
  <si>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</si>
  <si>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</si>
  <si>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</si>
  <si>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</si>
  <si>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</si>
  <si>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</si>
  <si>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</si>
  <si>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</si>
  <si>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</si>
  <si>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</si>
  <si>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</si>
  <si>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</si>
  <si>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</si>
  <si>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</si>
  <si>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</si>
  <si>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</si>
  <si>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</si>
  <si>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</si>
  <si>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</si>
  <si>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</si>
  <si>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</si>
  <si>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</si>
  <si>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</si>
  <si>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</si>
  <si>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</si>
  <si>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</si>
  <si>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</si>
  <si>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</si>
  <si>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</si>
  <si>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</si>
  <si>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</si>
  <si>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</si>
  <si>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</si>
  <si>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</si>
  <si>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</si>
  <si>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</si>
  <si>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</si>
  <si>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</si>
  <si>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</si>
  <si>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</si>
  <si>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</si>
  <si>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</si>
  <si>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</si>
  <si>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</si>
  <si>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</si>
  <si>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</si>
  <si>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</si>
  <si>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</si>
  <si>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</si>
  <si>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</si>
  <si>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</si>
  <si>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</si>
  <si>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</si>
  <si>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</si>
  <si>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</si>
  <si>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</si>
  <si>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</si>
  <si>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</si>
  <si>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</si>
  <si>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</si>
  <si>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</si>
  <si>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</si>
  <si>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</si>
  <si>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</si>
  <si>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</si>
  <si>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</si>
  <si>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</si>
  <si>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</si>
  <si>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</si>
  <si>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</si>
  <si>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</si>
  <si>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</si>
  <si>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</si>
  <si>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</si>
  <si>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</si>
  <si>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</si>
  <si>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</si>
  <si>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</si>
  <si>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</si>
  <si>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</si>
  <si>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</si>
  <si>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</si>
  <si>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</si>
  <si>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</si>
  <si>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</si>
  <si>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</si>
  <si>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</si>
  <si>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</si>
  <si>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</si>
  <si>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</si>
  <si>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</si>
  <si>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</si>
  <si>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</si>
  <si>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</si>
  <si>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</si>
  <si>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</si>
  <si>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</si>
  <si>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</si>
  <si>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</si>
  <si>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</si>
  <si>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</si>
  <si>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</si>
  <si>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</si>
  <si>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</si>
  <si>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</si>
  <si>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</si>
  <si>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</si>
  <si>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</si>
  <si>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</si>
  <si>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</si>
  <si>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</si>
  <si>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</si>
  <si>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</si>
  <si>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</si>
  <si>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</si>
  <si>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</si>
  <si>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</si>
  <si>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</si>
  <si>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</si>
  <si>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</si>
  <si>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</si>
  <si>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</si>
  <si>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</si>
  <si>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</si>
  <si>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</si>
  <si>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</si>
  <si>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</si>
  <si>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</si>
  <si>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</si>
  <si>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</si>
  <si>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</si>
  <si>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</si>
  <si>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</si>
  <si>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</si>
  <si>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</si>
  <si>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</si>
  <si>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</si>
  <si>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</si>
  <si>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</si>
  <si>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</si>
  <si>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</si>
  <si>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</si>
  <si>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</si>
  <si>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</si>
  <si>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</si>
  <si>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</si>
  <si>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</si>
  <si>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</si>
  <si>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</si>
  <si>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</si>
  <si>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</si>
  <si>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</si>
  <si>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</si>
  <si>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</si>
  <si>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</si>
  <si>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</si>
  <si>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</si>
  <si>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</si>
  <si>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</si>
  <si>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</si>
  <si>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</si>
  <si>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</si>
  <si>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</si>
  <si>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</si>
  <si>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</si>
  <si>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</si>
  <si>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</si>
  <si>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</si>
  <si>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</si>
  <si>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</si>
  <si>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</si>
  <si>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</si>
  <si>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</si>
  <si>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</si>
  <si>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</si>
  <si>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</si>
  <si>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</si>
  <si>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</si>
  <si>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</si>
  <si>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</si>
  <si>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</si>
  <si>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</si>
  <si>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</si>
  <si>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</si>
  <si>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</si>
  <si>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</si>
  <si>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</si>
  <si>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</si>
  <si>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</si>
  <si>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</si>
  <si>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</si>
  <si>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</si>
  <si>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</si>
  <si>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</si>
  <si>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</si>
  <si>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</si>
  <si>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</si>
  <si>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</si>
  <si>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</si>
  <si>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</si>
  <si>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</si>
  <si>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</si>
  <si>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</si>
  <si>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</si>
  <si>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</si>
  <si>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</si>
  <si>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</si>
  <si>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</si>
  <si>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</si>
  <si>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</si>
  <si>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</si>
  <si>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</si>
  <si>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</si>
  <si>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</si>
  <si>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</si>
  <si>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</si>
  <si>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</si>
  <si>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</si>
  <si>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</si>
  <si>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</si>
  <si>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</si>
  <si>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</si>
  <si>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</si>
  <si>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</si>
  <si>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</si>
  <si>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</si>
  <si>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</si>
  <si>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</si>
  <si>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</si>
  <si>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</si>
  <si>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</si>
  <si>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</si>
  <si>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</si>
  <si>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</si>
  <si>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</si>
  <si>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</si>
  <si>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</si>
  <si>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</si>
  <si>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</si>
  <si>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</si>
  <si>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</si>
  <si>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</si>
  <si>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</si>
  <si>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</si>
  <si>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</si>
  <si>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</si>
  <si>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</si>
  <si>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</si>
  <si>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</si>
  <si>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</si>
  <si>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</si>
  <si>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</si>
  <si>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</si>
  <si>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</si>
  <si>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</si>
  <si>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</si>
  <si>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</si>
  <si>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</si>
  <si>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</si>
  <si>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</si>
  <si>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</si>
  <si>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</si>
  <si>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</si>
  <si>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</si>
  <si>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</si>
  <si>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</si>
  <si>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</si>
  <si>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</si>
  <si>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</si>
  <si>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</si>
  <si>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</si>
  <si>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</si>
  <si>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</si>
  <si>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</si>
  <si>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</si>
  <si>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</si>
  <si>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</si>
  <si>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</si>
  <si>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</si>
  <si>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</si>
  <si>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</si>
  <si>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</si>
  <si>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</si>
  <si>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</si>
  <si>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</si>
  <si>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</si>
  <si>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</si>
  <si>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</si>
  <si>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</si>
  <si>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</si>
  <si>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</si>
  <si>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</si>
  <si>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</si>
  <si>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</si>
  <si>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</si>
  <si>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</si>
  <si>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</si>
  <si>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</si>
  <si>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</si>
  <si>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</si>
  <si>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</si>
  <si>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</si>
  <si>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</si>
  <si>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</si>
  <si>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</si>
  <si>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</si>
  <si>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</si>
  <si>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</si>
  <si>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</si>
  <si>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</si>
  <si>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</si>
  <si>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</si>
  <si>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</si>
  <si>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</si>
  <si>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</si>
  <si>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</si>
  <si>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</si>
  <si>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</si>
  <si>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</si>
  <si>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</si>
  <si>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</si>
  <si>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</si>
  <si>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</si>
  <si>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</si>
  <si>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</si>
  <si>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</si>
  <si>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</si>
  <si>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</si>
  <si>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</si>
  <si>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</si>
  <si>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</si>
  <si>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</si>
  <si>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</si>
  <si>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</si>
  <si>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</si>
  <si>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</si>
  <si>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</si>
  <si>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</si>
  <si>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</si>
  <si>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</si>
  <si>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</si>
  <si>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</si>
  <si>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</si>
  <si>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</si>
  <si>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</si>
  <si>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</si>
  <si>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</si>
  <si>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</si>
  <si>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</si>
  <si>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</si>
  <si>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</si>
  <si>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</si>
  <si>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</si>
  <si>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</si>
  <si>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</si>
  <si>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</si>
  <si>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</si>
  <si>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</si>
  <si>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</si>
  <si>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</si>
  <si>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</si>
  <si>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</si>
  <si>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</si>
  <si>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</si>
  <si>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</si>
  <si>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</si>
  <si>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</si>
  <si>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</si>
  <si>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</si>
  <si>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</si>
  <si>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</si>
  <si>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</si>
  <si>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</si>
  <si>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</si>
  <si>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</si>
  <si>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</si>
  <si>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</si>
  <si>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</si>
  <si>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</si>
  <si>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</si>
  <si>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</si>
  <si>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</si>
  <si>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</si>
  <si>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</si>
  <si>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</si>
  <si>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</si>
  <si>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</si>
  <si>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</si>
  <si>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</si>
  <si>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</si>
  <si>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</si>
  <si>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</si>
  <si>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</si>
  <si>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</si>
  <si>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</si>
  <si>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</si>
  <si>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</si>
  <si>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</si>
  <si>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</si>
  <si>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</si>
  <si>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</si>
  <si>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</si>
  <si>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</si>
  <si>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</si>
  <si>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</si>
  <si>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</si>
  <si>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</si>
  <si>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</si>
  <si>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</si>
  <si>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</si>
  <si>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</si>
  <si>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</si>
  <si>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</si>
  <si>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</si>
  <si>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</si>
  <si>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</si>
  <si>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</si>
  <si>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</si>
  <si>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</si>
  <si>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</si>
  <si>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</si>
  <si>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</si>
  <si>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</si>
  <si>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</si>
  <si>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</si>
  <si>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</si>
  <si>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</si>
  <si>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</si>
  <si>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</si>
  <si>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</si>
  <si>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</si>
  <si>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</si>
  <si>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</si>
  <si>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</si>
  <si>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</si>
  <si>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</si>
  <si>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</si>
  <si>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</si>
  <si>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</si>
  <si>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</si>
  <si>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</si>
  <si>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</si>
  <si>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</si>
  <si>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</si>
  <si>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</si>
  <si>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</si>
  <si>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</si>
  <si>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</si>
  <si>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</si>
  <si>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</si>
  <si>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</si>
  <si>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</si>
  <si>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</si>
  <si>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</si>
  <si>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</si>
  <si>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</si>
  <si>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</si>
  <si>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</si>
  <si>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</si>
  <si>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</si>
  <si>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</si>
  <si>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</si>
  <si>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</si>
  <si>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</si>
  <si>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</si>
  <si>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</si>
  <si>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</si>
  <si>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</si>
  <si>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</si>
  <si>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</si>
  <si>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</si>
  <si>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</si>
  <si>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</si>
  <si>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</si>
  <si>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</si>
  <si>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</si>
  <si>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</si>
  <si>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</si>
  <si>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</si>
  <si>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</si>
  <si>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</si>
  <si>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</si>
  <si>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</si>
  <si>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</si>
  <si>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</si>
  <si>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</si>
  <si>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</si>
  <si>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</si>
  <si>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</si>
  <si>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</si>
  <si>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</si>
  <si>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</si>
  <si>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</si>
  <si>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</si>
  <si>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</si>
  <si>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</si>
  <si>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</si>
  <si>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</si>
  <si>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</si>
  <si>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</si>
  <si>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</si>
  <si>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</si>
  <si>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</si>
  <si>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</si>
  <si>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</si>
  <si>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</si>
  <si>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</si>
  <si>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</si>
  <si>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</si>
  <si>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</si>
  <si>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</si>
  <si>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</si>
  <si>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</si>
  <si>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</si>
  <si>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</si>
  <si>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</si>
  <si>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</si>
  <si>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</si>
  <si>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</si>
  <si>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</si>
  <si>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</si>
  <si>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</si>
  <si>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</si>
  <si>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</si>
  <si>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</si>
  <si>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</si>
  <si>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</si>
  <si>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</si>
  <si>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</si>
  <si>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</si>
  <si>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</si>
  <si>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</si>
  <si>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</si>
  <si>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</si>
  <si>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</si>
  <si>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</si>
  <si>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</si>
  <si>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</si>
  <si>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</si>
  <si>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</si>
  <si>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</si>
  <si>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</si>
  <si>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</si>
  <si>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</si>
  <si>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</si>
  <si>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</si>
  <si>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</si>
  <si>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</si>
  <si>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</si>
  <si>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</si>
  <si>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</si>
  <si>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</si>
  <si>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</si>
  <si>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</si>
  <si>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</si>
  <si>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</si>
  <si>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</si>
  <si>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</si>
  <si>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</si>
  <si>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</si>
  <si>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</si>
  <si>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</si>
  <si>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</si>
  <si>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</si>
  <si>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</si>
  <si>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</si>
  <si>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</si>
  <si>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</si>
  <si>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</si>
  <si>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</si>
  <si>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</si>
  <si>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</si>
  <si>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</si>
  <si>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</si>
  <si>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</si>
  <si>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</si>
  <si>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</si>
  <si>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</si>
  <si>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</si>
  <si>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</si>
  <si>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</si>
  <si>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</si>
  <si>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</si>
  <si>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</si>
  <si>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</si>
  <si>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</si>
  <si>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</si>
  <si>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</si>
  <si>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</si>
  <si>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</si>
  <si>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</si>
  <si>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</si>
  <si>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</si>
  <si>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</si>
  <si>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</si>
  <si>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</si>
  <si>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</si>
  <si>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</si>
  <si>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</si>
  <si>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</si>
  <si>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</si>
  <si>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</si>
  <si>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</si>
  <si>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</si>
  <si>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</si>
  <si>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</si>
  <si>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</si>
  <si>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</si>
  <si>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</si>
  <si>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</si>
  <si>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</si>
  <si>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</si>
  <si>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</si>
  <si>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</si>
  <si>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</si>
  <si>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</si>
  <si>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</si>
  <si>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</si>
  <si>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</si>
  <si>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</si>
  <si>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</si>
  <si>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</si>
  <si>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</si>
  <si>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</si>
  <si>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</si>
  <si>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</si>
  <si>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</si>
  <si>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</si>
  <si>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</si>
  <si>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</si>
  <si>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</si>
  <si>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</si>
  <si>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</si>
  <si>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</si>
  <si>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</si>
  <si>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</si>
  <si>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</si>
  <si>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</si>
  <si>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</si>
  <si>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</si>
  <si>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</si>
  <si>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</si>
  <si>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</si>
  <si>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</si>
  <si>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</si>
  <si>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</si>
  <si>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</si>
  <si>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</si>
  <si>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</si>
  <si>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</si>
  <si>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</si>
  <si>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</si>
  <si>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</si>
  <si>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</si>
  <si>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</si>
  <si>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</si>
  <si>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</si>
  <si>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</si>
  <si>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</si>
  <si>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</si>
  <si>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</si>
  <si>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</si>
  <si>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</si>
  <si>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</si>
  <si>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</si>
  <si>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</si>
  <si>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</si>
  <si>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</si>
  <si>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</si>
  <si>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</si>
  <si>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</si>
  <si>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</si>
  <si>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</si>
  <si>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</si>
  <si>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</si>
  <si>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</si>
  <si>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</si>
  <si>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</si>
  <si>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</si>
  <si>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</si>
  <si>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</si>
  <si>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</si>
  <si>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</si>
  <si>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</si>
  <si>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</si>
  <si>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</si>
  <si>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</si>
  <si>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</si>
  <si>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</si>
  <si>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</si>
  <si>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</si>
  <si>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</si>
  <si>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</si>
  <si>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</si>
  <si>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</si>
  <si>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</si>
  <si>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</si>
  <si>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</si>
  <si>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</si>
  <si>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</si>
  <si>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</si>
  <si>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</si>
  <si>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</si>
  <si>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</si>
  <si>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</si>
  <si>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</si>
  <si>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</si>
  <si>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</si>
  <si>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</si>
  <si>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</si>
  <si>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</si>
  <si>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</si>
  <si>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</si>
  <si>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</si>
  <si>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</si>
  <si>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</si>
  <si>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</si>
  <si>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</si>
  <si>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</si>
  <si>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</si>
  <si>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</si>
  <si>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</si>
  <si>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</si>
  <si>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</si>
  <si>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</si>
  <si>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</si>
  <si>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</si>
  <si>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</si>
  <si>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</si>
  <si>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</si>
  <si>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</si>
  <si>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</si>
  <si>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</si>
  <si>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</si>
  <si>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</si>
  <si>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</si>
  <si>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</si>
  <si>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</si>
  <si>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</si>
  <si>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</si>
  <si>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</si>
  <si>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</si>
  <si>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</si>
  <si>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</si>
  <si>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</si>
  <si>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</si>
  <si>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</si>
  <si>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</si>
  <si>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</si>
  <si>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</si>
  <si>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</si>
  <si>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</si>
  <si>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</si>
  <si>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</si>
  <si>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</si>
  <si>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</si>
  <si>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</si>
  <si>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</si>
  <si>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</si>
  <si>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</si>
  <si>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</si>
  <si>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</si>
  <si>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</si>
  <si>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</si>
  <si>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</si>
  <si>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</si>
  <si>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</si>
  <si>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</si>
  <si>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</si>
  <si>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Goffstown School District</t>
  </si>
  <si>
    <t>`</t>
  </si>
  <si>
    <t>10/10</t>
  </si>
  <si>
    <t>07/21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</si>
</sst>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199</v>
      </c>
      <c r="C2" s="21">
        <v>199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6070410+470825</f>
        <v>6541235</v>
      </c>
      <c r="G9" s="18">
        <v>105024</v>
      </c>
      <c r="H9" s="18">
        <v>100634</v>
      </c>
      <c r="I9" s="18">
        <v>156105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39181</v>
      </c>
      <c r="H12" s="18"/>
      <c r="I12" s="18">
        <v>312959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50471</v>
      </c>
      <c r="H13" s="18">
        <v>6248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13826</v>
      </c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58717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626345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6613778</v>
      </c>
      <c r="G19" s="41">
        <f>SUM(G9:G18)</f>
        <v>194676</v>
      </c>
      <c r="H19" s="41">
        <f>SUM(H9:H18)</f>
        <v>106882</v>
      </c>
      <c r="I19" s="41">
        <f>SUM(I9:I18)</f>
        <v>469064</v>
      </c>
      <c r="J19" s="41">
        <f>SUM(J9:J18)</f>
        <v>626345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90550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856</v>
      </c>
      <c r="I23" s="18">
        <v>5001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982160</v>
      </c>
      <c r="G24" s="18"/>
      <c r="H24" s="18">
        <f>-3268+3271+7839</f>
        <v>7842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>
        <v>13963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94885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603238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f>827+13350</f>
        <v>14177</v>
      </c>
      <c r="G30" s="18"/>
      <c r="H30" s="18">
        <v>44653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1526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1786536</v>
      </c>
      <c r="G32" s="41">
        <f>SUM(G22:G31)</f>
        <v>0</v>
      </c>
      <c r="H32" s="41">
        <f>SUM(H22:H31)</f>
        <v>53351</v>
      </c>
      <c r="I32" s="41">
        <f>SUM(I22:I31)</f>
        <v>18964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13826</v>
      </c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61098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607931</v>
      </c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505603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1251307</v>
      </c>
      <c r="G48" s="18">
        <v>194676</v>
      </c>
      <c r="H48" s="18">
        <v>53531</v>
      </c>
      <c r="I48" s="18">
        <v>450100</v>
      </c>
      <c r="J48" s="13">
        <f>SUM(I459)</f>
        <v>626345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1546221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841256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4827242</v>
      </c>
      <c r="G51" s="41">
        <f>SUM(G35:G50)</f>
        <v>194676</v>
      </c>
      <c r="H51" s="41">
        <f>SUM(H35:H50)</f>
        <v>53531</v>
      </c>
      <c r="I51" s="41">
        <f>SUM(I35:I50)</f>
        <v>450100</v>
      </c>
      <c r="J51" s="41">
        <f>SUM(J35:J50)</f>
        <v>626345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6613778</v>
      </c>
      <c r="G52" s="41">
        <f>G51+G32</f>
        <v>194676</v>
      </c>
      <c r="H52" s="41">
        <f>H51+H32</f>
        <v>106882</v>
      </c>
      <c r="I52" s="41">
        <f>I51+I32</f>
        <v>469064</v>
      </c>
      <c r="J52" s="41">
        <f>J51+J32</f>
        <v>626345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20217673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20217673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31826</f>
        <v>31826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29488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6661272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338802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7061388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8484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13717+25288+2954+1338+7300+71518+3827+1060+7472+156453+6561+6107+67000+181100+6742+4935+118050</f>
        <v>681422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>
        <v>40092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f>5000+50+140</f>
        <v>5190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10722+400+3500</f>
        <v>14622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4290+150+430+1763+1264+27730</f>
        <v>35627</v>
      </c>
      <c r="G110" s="18"/>
      <c r="H110" s="18"/>
      <c r="I110" s="18">
        <v>291100</v>
      </c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49301</v>
      </c>
      <c r="G111" s="41">
        <f>SUM(G96:G110)</f>
        <v>681422</v>
      </c>
      <c r="H111" s="41">
        <f>SUM(H96:H110)</f>
        <v>54714</v>
      </c>
      <c r="I111" s="41">
        <f>SUM(I96:I110)</f>
        <v>291100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27328362</v>
      </c>
      <c r="G112" s="41">
        <f>G60+G111</f>
        <v>681422</v>
      </c>
      <c r="H112" s="41">
        <f>H60+H79+H94+H111</f>
        <v>54714</v>
      </c>
      <c r="I112" s="41">
        <f>I60+I111</f>
        <v>291100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7102063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3167853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10269916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314567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297942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22576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12330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635085</v>
      </c>
      <c r="G136" s="41">
        <f>SUM(G123:G135)</f>
        <v>12330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10905001</v>
      </c>
      <c r="G140" s="41">
        <f>G121+SUM(G136:G137)</f>
        <v>12330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289492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508619+7012+57056</f>
        <v>572687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33894+6669+10978+47337+7375+102856+14490+64194+5373</f>
        <v>293166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338028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338028</v>
      </c>
      <c r="G162" s="41">
        <f>SUM(G150:G161)</f>
        <v>293166</v>
      </c>
      <c r="H162" s="41">
        <f>SUM(H150:H161)</f>
        <v>862179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338028</v>
      </c>
      <c r="G169" s="41">
        <f>G147+G162+SUM(G163:G168)</f>
        <v>293166</v>
      </c>
      <c r="H169" s="41">
        <f>H147+H162+SUM(H163:H168)</f>
        <v>862179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7689</v>
      </c>
      <c r="H179" s="18"/>
      <c r="I179" s="18">
        <v>537659</v>
      </c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7689</v>
      </c>
      <c r="H183" s="41">
        <f>SUM(H179:H182)</f>
        <v>0</v>
      </c>
      <c r="I183" s="41">
        <f>SUM(I179:I182)</f>
        <v>537659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>
        <v>263868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263868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7689</v>
      </c>
      <c r="H192" s="41">
        <f>+H183+SUM(H188:H191)</f>
        <v>0</v>
      </c>
      <c r="I192" s="41">
        <f>I177+I183+SUM(I188:I191)</f>
        <v>801527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38571391</v>
      </c>
      <c r="G193" s="47">
        <f>G112+G140+G169+G192</f>
        <v>994607</v>
      </c>
      <c r="H193" s="47">
        <f>H112+H140+H169+H192</f>
        <v>916893</v>
      </c>
      <c r="I193" s="47">
        <f>I112+I140+I169+I192</f>
        <v>1092627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125188+2454310</f>
        <v>2579498</v>
      </c>
      <c r="G197" s="18">
        <f>40117+1183454</f>
        <v>1223571</v>
      </c>
      <c r="H197" s="18">
        <f>422+97968</f>
        <v>98390</v>
      </c>
      <c r="I197" s="18">
        <f>4312+104402</f>
        <v>108714</v>
      </c>
      <c r="J197" s="18">
        <f>889+18425</f>
        <v>19314</v>
      </c>
      <c r="K197" s="18"/>
      <c r="L197" s="19">
        <f>SUM(F197:K197)</f>
        <v>4029487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120412+39852+1104713</f>
        <v>1264977</v>
      </c>
      <c r="G198" s="18">
        <f>31495+24344+626871</f>
        <v>682710</v>
      </c>
      <c r="H198" s="18">
        <f>744936+466+2752-62589</f>
        <v>685565</v>
      </c>
      <c r="I198" s="18">
        <f>6637+75+8692</f>
        <v>15404</v>
      </c>
      <c r="J198" s="18">
        <v>2530</v>
      </c>
      <c r="K198" s="18"/>
      <c r="L198" s="19">
        <f>SUM(F198:K198)</f>
        <v>2651186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19699</v>
      </c>
      <c r="G200" s="18">
        <f>4719+110</f>
        <v>4829</v>
      </c>
      <c r="H200" s="18">
        <v>1600</v>
      </c>
      <c r="I200" s="18">
        <v>1467</v>
      </c>
      <c r="J200" s="18"/>
      <c r="K200" s="18"/>
      <c r="L200" s="19">
        <f>SUM(F200:K200)</f>
        <v>27595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441658</v>
      </c>
      <c r="G202" s="18">
        <v>211110</v>
      </c>
      <c r="H202" s="18">
        <f>1112+4653</f>
        <v>5765</v>
      </c>
      <c r="I202" s="18">
        <f>3984+12128</f>
        <v>16112</v>
      </c>
      <c r="J202" s="18"/>
      <c r="K202" s="18"/>
      <c r="L202" s="19">
        <f t="shared" ref="L202:L208" si="0">SUM(F202:K202)</f>
        <v>674645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61673+150478</f>
        <v>212151</v>
      </c>
      <c r="G203" s="18">
        <f>21278+68882</f>
        <v>90160</v>
      </c>
      <c r="H203" s="18">
        <f>8553+237</f>
        <v>8790</v>
      </c>
      <c r="I203" s="18">
        <v>20045</v>
      </c>
      <c r="J203" s="18"/>
      <c r="K203" s="18"/>
      <c r="L203" s="19">
        <f t="shared" si="0"/>
        <v>331146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5821+445+267</f>
        <v>6533</v>
      </c>
      <c r="G204" s="18">
        <f>173+41+26</f>
        <v>240</v>
      </c>
      <c r="H204" s="18">
        <f>650+952+1630+10899+383151</f>
        <v>397282</v>
      </c>
      <c r="I204" s="18">
        <v>828</v>
      </c>
      <c r="J204" s="18"/>
      <c r="K204" s="18">
        <v>1835</v>
      </c>
      <c r="L204" s="19">
        <f t="shared" si="0"/>
        <v>406718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504592</v>
      </c>
      <c r="G205" s="18">
        <f>70+223665</f>
        <v>223735</v>
      </c>
      <c r="H205" s="18">
        <f>1538+39960</f>
        <v>41498</v>
      </c>
      <c r="I205" s="18">
        <v>2383</v>
      </c>
      <c r="J205" s="18"/>
      <c r="K205" s="18">
        <v>5895</v>
      </c>
      <c r="L205" s="19">
        <f t="shared" si="0"/>
        <v>778103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46276+2964+193215</f>
        <v>242455</v>
      </c>
      <c r="G207" s="18">
        <f>20270+93278</f>
        <v>113548</v>
      </c>
      <c r="H207" s="18">
        <f>101801+188137</f>
        <v>289938</v>
      </c>
      <c r="I207" s="18">
        <f>442+1186+167801</f>
        <v>169429</v>
      </c>
      <c r="J207" s="18">
        <v>8223</v>
      </c>
      <c r="K207" s="18"/>
      <c r="L207" s="19">
        <f t="shared" si="0"/>
        <v>823593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345581+344678+15263+5644</f>
        <v>711166</v>
      </c>
      <c r="I208" s="18"/>
      <c r="J208" s="18"/>
      <c r="K208" s="18"/>
      <c r="L208" s="19">
        <f t="shared" si="0"/>
        <v>711166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2816</v>
      </c>
      <c r="H209" s="18"/>
      <c r="I209" s="18"/>
      <c r="J209" s="18"/>
      <c r="K209" s="18"/>
      <c r="L209" s="19">
        <f>SUM(F209:K209)</f>
        <v>2816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5271563</v>
      </c>
      <c r="G211" s="41">
        <f t="shared" si="1"/>
        <v>2552719</v>
      </c>
      <c r="H211" s="41">
        <f t="shared" si="1"/>
        <v>2239994</v>
      </c>
      <c r="I211" s="41">
        <f t="shared" si="1"/>
        <v>334382</v>
      </c>
      <c r="J211" s="41">
        <f t="shared" si="1"/>
        <v>30067</v>
      </c>
      <c r="K211" s="41">
        <f t="shared" si="1"/>
        <v>7730</v>
      </c>
      <c r="L211" s="41">
        <f t="shared" si="1"/>
        <v>10436455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131317+3035345</f>
        <v>3166662</v>
      </c>
      <c r="G215" s="18">
        <f>42082+1413005</f>
        <v>1455087</v>
      </c>
      <c r="H215" s="18">
        <f>443+88871</f>
        <v>89314</v>
      </c>
      <c r="I215" s="18">
        <f>4523+93023</f>
        <v>97546</v>
      </c>
      <c r="J215" s="18">
        <f>933+56175</f>
        <v>57108</v>
      </c>
      <c r="K215" s="18">
        <v>468</v>
      </c>
      <c r="L215" s="19">
        <f>SUM(F215:K215)</f>
        <v>4866185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60206+19926+1225802</f>
        <v>1305934</v>
      </c>
      <c r="G216" s="18">
        <f>15747+12172+624585</f>
        <v>652504</v>
      </c>
      <c r="H216" s="18">
        <f>372468+233+1152-31294</f>
        <v>342559</v>
      </c>
      <c r="I216" s="18">
        <f>3319+38+18445</f>
        <v>21802</v>
      </c>
      <c r="J216" s="18">
        <v>5612</v>
      </c>
      <c r="K216" s="18"/>
      <c r="L216" s="19">
        <f>SUM(F216:K216)</f>
        <v>2328411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138864</v>
      </c>
      <c r="G218" s="18">
        <v>40085</v>
      </c>
      <c r="H218" s="18">
        <v>21315</v>
      </c>
      <c r="I218" s="18">
        <v>4684</v>
      </c>
      <c r="J218" s="18">
        <v>4113</v>
      </c>
      <c r="K218" s="18">
        <v>3582</v>
      </c>
      <c r="L218" s="19">
        <f>SUM(F218:K218)</f>
        <v>212643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278275</v>
      </c>
      <c r="G220" s="18">
        <v>118179</v>
      </c>
      <c r="H220" s="18">
        <f>1166+4294</f>
        <v>5460</v>
      </c>
      <c r="I220" s="18">
        <f>4179+3973</f>
        <v>8152</v>
      </c>
      <c r="J220" s="18">
        <v>955</v>
      </c>
      <c r="K220" s="18"/>
      <c r="L220" s="19">
        <f t="shared" ref="L220:L226" si="2">SUM(F220:K220)</f>
        <v>411021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30837+84073</f>
        <v>114910</v>
      </c>
      <c r="G221" s="18">
        <f>10639+36391</f>
        <v>47030</v>
      </c>
      <c r="H221" s="18">
        <f>8971+1090</f>
        <v>10061</v>
      </c>
      <c r="I221" s="18">
        <v>20809</v>
      </c>
      <c r="J221" s="18">
        <v>2670</v>
      </c>
      <c r="K221" s="18"/>
      <c r="L221" s="19">
        <f t="shared" si="2"/>
        <v>195480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6106+466+280</f>
        <v>6852</v>
      </c>
      <c r="G222" s="18">
        <f>110+43+27</f>
        <v>180</v>
      </c>
      <c r="H222" s="18">
        <f>682+999+1710+11432+401910</f>
        <v>416733</v>
      </c>
      <c r="I222" s="18">
        <v>869</v>
      </c>
      <c r="J222" s="18"/>
      <c r="K222" s="18">
        <v>1925</v>
      </c>
      <c r="L222" s="19">
        <f t="shared" si="2"/>
        <v>426559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425610</v>
      </c>
      <c r="G223" s="18">
        <f>73+213862</f>
        <v>213935</v>
      </c>
      <c r="H223" s="18">
        <f>1613+18826</f>
        <v>20439</v>
      </c>
      <c r="I223" s="18">
        <v>1435</v>
      </c>
      <c r="J223" s="18"/>
      <c r="K223" s="18">
        <v>5320</v>
      </c>
      <c r="L223" s="19">
        <f t="shared" si="2"/>
        <v>666739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48541+3110+267704</f>
        <v>319355</v>
      </c>
      <c r="G225" s="18">
        <f>21263+136457</f>
        <v>157720</v>
      </c>
      <c r="H225" s="18">
        <f>106785+97233</f>
        <v>204018</v>
      </c>
      <c r="I225" s="18">
        <f>463+1244+215284</f>
        <v>216991</v>
      </c>
      <c r="J225" s="18">
        <v>10990</v>
      </c>
      <c r="K225" s="18"/>
      <c r="L225" s="19">
        <f t="shared" si="2"/>
        <v>909074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562938</v>
      </c>
      <c r="I226" s="18"/>
      <c r="J226" s="18"/>
      <c r="K226" s="18"/>
      <c r="L226" s="19">
        <f t="shared" si="2"/>
        <v>562938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>
        <v>2954</v>
      </c>
      <c r="H227" s="18">
        <v>1590</v>
      </c>
      <c r="I227" s="18"/>
      <c r="J227" s="18"/>
      <c r="K227" s="18"/>
      <c r="L227" s="19">
        <f>SUM(F227:K227)</f>
        <v>4544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5756462</v>
      </c>
      <c r="G229" s="41">
        <f>SUM(G215:G228)</f>
        <v>2687674</v>
      </c>
      <c r="H229" s="41">
        <f>SUM(H215:H228)</f>
        <v>1674427</v>
      </c>
      <c r="I229" s="41">
        <f>SUM(I215:I228)</f>
        <v>372288</v>
      </c>
      <c r="J229" s="41">
        <f>SUM(J215:J228)</f>
        <v>81448</v>
      </c>
      <c r="K229" s="41">
        <f t="shared" si="3"/>
        <v>11295</v>
      </c>
      <c r="L229" s="41">
        <f t="shared" si="3"/>
        <v>10583594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165794+4033487</f>
        <v>4199281</v>
      </c>
      <c r="G233" s="18">
        <f>53130+1957965</f>
        <v>2011095</v>
      </c>
      <c r="H233" s="18">
        <f>559+117065</f>
        <v>117624</v>
      </c>
      <c r="I233" s="18">
        <f>5710+251222</f>
        <v>256932</v>
      </c>
      <c r="J233" s="18">
        <f>1178+113948</f>
        <v>115126</v>
      </c>
      <c r="K233" s="18">
        <v>1091</v>
      </c>
      <c r="L233" s="19">
        <f>SUM(F233:K233)</f>
        <v>6701149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60206+19926+1287609</f>
        <v>1367741</v>
      </c>
      <c r="G234" s="18">
        <f>15747+12172+754590</f>
        <v>782509</v>
      </c>
      <c r="H234" s="18">
        <f>372468+233+969-31295</f>
        <v>342375</v>
      </c>
      <c r="I234" s="18">
        <f>3319+38+19559</f>
        <v>22916</v>
      </c>
      <c r="J234" s="18">
        <v>695</v>
      </c>
      <c r="K234" s="18"/>
      <c r="L234" s="19">
        <f>SUM(F234:K234)</f>
        <v>2516236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80000</v>
      </c>
      <c r="I235" s="18"/>
      <c r="J235" s="18"/>
      <c r="K235" s="18"/>
      <c r="L235" s="19">
        <f>SUM(F235:K235)</f>
        <v>80000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208297</v>
      </c>
      <c r="G236" s="18">
        <v>60128</v>
      </c>
      <c r="H236" s="18">
        <v>133006</v>
      </c>
      <c r="I236" s="18">
        <v>28341</v>
      </c>
      <c r="J236" s="18">
        <v>6484</v>
      </c>
      <c r="K236" s="18">
        <v>18890</v>
      </c>
      <c r="L236" s="19">
        <f>SUM(F236:K236)</f>
        <v>455146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632402</v>
      </c>
      <c r="G238" s="18">
        <v>294446</v>
      </c>
      <c r="H238" s="18">
        <f>1473+6218</f>
        <v>7691</v>
      </c>
      <c r="I238" s="18">
        <f>5276+20277</f>
        <v>25553</v>
      </c>
      <c r="J238" s="18">
        <v>500</v>
      </c>
      <c r="K238" s="18">
        <v>518</v>
      </c>
      <c r="L238" s="19">
        <f t="shared" ref="L238:L244" si="4">SUM(F238:K238)</f>
        <v>961110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30837+72275</f>
        <v>103112</v>
      </c>
      <c r="G239" s="18">
        <f>10639+46558</f>
        <v>57197</v>
      </c>
      <c r="H239" s="18">
        <f>11327</f>
        <v>11327</v>
      </c>
      <c r="I239" s="18">
        <v>50638</v>
      </c>
      <c r="J239" s="18"/>
      <c r="K239" s="18"/>
      <c r="L239" s="19">
        <f t="shared" si="4"/>
        <v>222274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7709+589+353</f>
        <v>8651</v>
      </c>
      <c r="G240" s="18">
        <f>121+54+35</f>
        <v>210</v>
      </c>
      <c r="H240" s="18">
        <f>861+2159+1261+14434+507429</f>
        <v>526144</v>
      </c>
      <c r="I240" s="18">
        <v>1097</v>
      </c>
      <c r="J240" s="18"/>
      <c r="K240" s="18">
        <v>2431</v>
      </c>
      <c r="L240" s="19">
        <f t="shared" si="4"/>
        <v>538533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451673</v>
      </c>
      <c r="G241" s="18">
        <f>92+260114</f>
        <v>260206</v>
      </c>
      <c r="H241" s="18">
        <f>2037+75906</f>
        <v>77943</v>
      </c>
      <c r="I241" s="18">
        <v>4982</v>
      </c>
      <c r="J241" s="18">
        <v>218</v>
      </c>
      <c r="K241" s="18">
        <v>19607</v>
      </c>
      <c r="L241" s="19">
        <f t="shared" si="4"/>
        <v>814629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61285+3926+316099</f>
        <v>381310</v>
      </c>
      <c r="G243" s="18">
        <f>26845+160604</f>
        <v>187449</v>
      </c>
      <c r="H243" s="18">
        <f>134821+180556</f>
        <v>315377</v>
      </c>
      <c r="I243" s="18">
        <f>585+1570+326095</f>
        <v>328250</v>
      </c>
      <c r="J243" s="18">
        <v>4493</v>
      </c>
      <c r="K243" s="18"/>
      <c r="L243" s="19">
        <f t="shared" si="4"/>
        <v>1216879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457673+172339+7631+113940</f>
        <v>751583</v>
      </c>
      <c r="I244" s="18"/>
      <c r="J244" s="18"/>
      <c r="K244" s="18"/>
      <c r="L244" s="19">
        <f t="shared" si="4"/>
        <v>751583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>
        <v>3730</v>
      </c>
      <c r="H245" s="18"/>
      <c r="I245" s="18"/>
      <c r="J245" s="18"/>
      <c r="K245" s="18"/>
      <c r="L245" s="19">
        <f>SUM(F245:K245)</f>
        <v>3730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7352467</v>
      </c>
      <c r="G247" s="41">
        <f t="shared" si="5"/>
        <v>3656970</v>
      </c>
      <c r="H247" s="41">
        <f t="shared" si="5"/>
        <v>2363070</v>
      </c>
      <c r="I247" s="41">
        <f t="shared" si="5"/>
        <v>718709</v>
      </c>
      <c r="J247" s="41">
        <f t="shared" si="5"/>
        <v>127516</v>
      </c>
      <c r="K247" s="41">
        <f t="shared" si="5"/>
        <v>42537</v>
      </c>
      <c r="L247" s="41">
        <f t="shared" si="5"/>
        <v>14261269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67102</v>
      </c>
      <c r="G251" s="18">
        <v>9671</v>
      </c>
      <c r="H251" s="18"/>
      <c r="I251" s="18">
        <v>1829</v>
      </c>
      <c r="J251" s="18"/>
      <c r="K251" s="18">
        <v>400</v>
      </c>
      <c r="L251" s="19">
        <f t="shared" si="6"/>
        <v>79002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67102</v>
      </c>
      <c r="G256" s="41">
        <f t="shared" si="7"/>
        <v>9671</v>
      </c>
      <c r="H256" s="41">
        <f t="shared" si="7"/>
        <v>0</v>
      </c>
      <c r="I256" s="41">
        <f t="shared" si="7"/>
        <v>1829</v>
      </c>
      <c r="J256" s="41">
        <f t="shared" si="7"/>
        <v>0</v>
      </c>
      <c r="K256" s="41">
        <f t="shared" si="7"/>
        <v>400</v>
      </c>
      <c r="L256" s="41">
        <f>SUM(F256:K256)</f>
        <v>79002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18447594</v>
      </c>
      <c r="G257" s="41">
        <f t="shared" si="8"/>
        <v>8907034</v>
      </c>
      <c r="H257" s="41">
        <f t="shared" si="8"/>
        <v>6277491</v>
      </c>
      <c r="I257" s="41">
        <f t="shared" si="8"/>
        <v>1427208</v>
      </c>
      <c r="J257" s="41">
        <f t="shared" si="8"/>
        <v>239031</v>
      </c>
      <c r="K257" s="41">
        <f t="shared" si="8"/>
        <v>61962</v>
      </c>
      <c r="L257" s="41">
        <f t="shared" si="8"/>
        <v>35360320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615000</v>
      </c>
      <c r="L260" s="19">
        <f>SUM(F260:K260)</f>
        <v>615000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138700</v>
      </c>
      <c r="L261" s="19">
        <f>SUM(F261:K261)</f>
        <v>138700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7689</v>
      </c>
      <c r="L263" s="19">
        <f>SUM(F263:K263)</f>
        <v>7689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537659</v>
      </c>
      <c r="L265" s="19">
        <f t="shared" si="9"/>
        <v>537659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125178</v>
      </c>
      <c r="L268" s="19">
        <f t="shared" si="9"/>
        <v>125178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1424226</v>
      </c>
      <c r="L270" s="41">
        <f t="shared" si="9"/>
        <v>1424226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18447594</v>
      </c>
      <c r="G271" s="42">
        <f t="shared" si="11"/>
        <v>8907034</v>
      </c>
      <c r="H271" s="42">
        <f t="shared" si="11"/>
        <v>6277491</v>
      </c>
      <c r="I271" s="42">
        <f t="shared" si="11"/>
        <v>1427208</v>
      </c>
      <c r="J271" s="42">
        <f t="shared" si="11"/>
        <v>239031</v>
      </c>
      <c r="K271" s="42">
        <f t="shared" si="11"/>
        <v>1486188</v>
      </c>
      <c r="L271" s="42">
        <f t="shared" si="11"/>
        <v>36784546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21450+159656</f>
        <v>181106</v>
      </c>
      <c r="G276" s="18">
        <f>4775+76134</f>
        <v>80909</v>
      </c>
      <c r="H276" s="18">
        <v>3162</v>
      </c>
      <c r="I276" s="18">
        <f>17375+400</f>
        <v>17775</v>
      </c>
      <c r="J276" s="18">
        <v>10558</v>
      </c>
      <c r="K276" s="18"/>
      <c r="L276" s="19">
        <f>SUM(F276:K276)</f>
        <v>293510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13293+97923</f>
        <v>111216</v>
      </c>
      <c r="G277" s="18">
        <f>6385+24768</f>
        <v>31153</v>
      </c>
      <c r="H277" s="18"/>
      <c r="I277" s="18"/>
      <c r="J277" s="18"/>
      <c r="K277" s="18"/>
      <c r="L277" s="19">
        <f>SUM(F277:K277)</f>
        <v>142369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29178+16637</f>
        <v>45815</v>
      </c>
      <c r="G282" s="18">
        <f>2173+4327+3553</f>
        <v>10053</v>
      </c>
      <c r="H282" s="18">
        <f>15680+3815</f>
        <v>19495</v>
      </c>
      <c r="I282" s="18">
        <f>2147+414</f>
        <v>2561</v>
      </c>
      <c r="J282" s="18"/>
      <c r="K282" s="18"/>
      <c r="L282" s="19">
        <f t="shared" si="12"/>
        <v>77924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1498</v>
      </c>
      <c r="L285" s="19">
        <f t="shared" si="12"/>
        <v>1498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>
        <v>36</v>
      </c>
      <c r="L286" s="19">
        <f t="shared" si="12"/>
        <v>36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338137</v>
      </c>
      <c r="G290" s="42">
        <f t="shared" si="13"/>
        <v>122115</v>
      </c>
      <c r="H290" s="42">
        <f t="shared" si="13"/>
        <v>22657</v>
      </c>
      <c r="I290" s="42">
        <f t="shared" si="13"/>
        <v>20336</v>
      </c>
      <c r="J290" s="42">
        <f t="shared" si="13"/>
        <v>10558</v>
      </c>
      <c r="K290" s="42">
        <f t="shared" si="13"/>
        <v>1534</v>
      </c>
      <c r="L290" s="41">
        <f t="shared" si="13"/>
        <v>515337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>
        <v>1236</v>
      </c>
      <c r="H295" s="18"/>
      <c r="I295" s="18"/>
      <c r="J295" s="18"/>
      <c r="K295" s="18"/>
      <c r="L295" s="19">
        <f>SUM(F295:K295)</f>
        <v>1236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13944+151896</f>
        <v>165840</v>
      </c>
      <c r="G296" s="18">
        <f>6698+85030</f>
        <v>91728</v>
      </c>
      <c r="H296" s="18"/>
      <c r="I296" s="18"/>
      <c r="J296" s="18"/>
      <c r="K296" s="18"/>
      <c r="L296" s="19">
        <f>SUM(F296:K296)</f>
        <v>257568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8318</v>
      </c>
      <c r="G301" s="18">
        <v>1777</v>
      </c>
      <c r="H301" s="18">
        <v>1908</v>
      </c>
      <c r="I301" s="18">
        <v>207</v>
      </c>
      <c r="J301" s="18"/>
      <c r="K301" s="18"/>
      <c r="L301" s="19">
        <f t="shared" si="14"/>
        <v>12210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>
        <v>1571</v>
      </c>
      <c r="L304" s="19">
        <f t="shared" si="14"/>
        <v>1571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>
        <v>1000</v>
      </c>
      <c r="I305" s="18"/>
      <c r="J305" s="18"/>
      <c r="K305" s="18">
        <v>18</v>
      </c>
      <c r="L305" s="19">
        <f t="shared" si="14"/>
        <v>1018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174158</v>
      </c>
      <c r="G309" s="42">
        <f t="shared" si="15"/>
        <v>94741</v>
      </c>
      <c r="H309" s="42">
        <f t="shared" si="15"/>
        <v>2908</v>
      </c>
      <c r="I309" s="42">
        <f t="shared" si="15"/>
        <v>207</v>
      </c>
      <c r="J309" s="42">
        <f t="shared" si="15"/>
        <v>0</v>
      </c>
      <c r="K309" s="42">
        <f t="shared" si="15"/>
        <v>1589</v>
      </c>
      <c r="L309" s="41">
        <f t="shared" si="15"/>
        <v>273603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>
        <v>807</v>
      </c>
      <c r="J314" s="18"/>
      <c r="K314" s="18"/>
      <c r="L314" s="19">
        <f>SUM(F314:K314)</f>
        <v>807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17604+52503</f>
        <v>70107</v>
      </c>
      <c r="G315" s="18">
        <f>8457+35098</f>
        <v>43555</v>
      </c>
      <c r="H315" s="18"/>
      <c r="I315" s="18"/>
      <c r="J315" s="18"/>
      <c r="K315" s="18"/>
      <c r="L315" s="19">
        <f>SUM(F315:K315)</f>
        <v>113662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8498</v>
      </c>
      <c r="G317" s="18">
        <f>15024+1417</f>
        <v>16441</v>
      </c>
      <c r="H317" s="18"/>
      <c r="I317" s="18"/>
      <c r="J317" s="18"/>
      <c r="K317" s="18"/>
      <c r="L317" s="19">
        <f>SUM(F317:K317)</f>
        <v>24939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8318</v>
      </c>
      <c r="G320" s="18">
        <v>1777</v>
      </c>
      <c r="H320" s="18">
        <v>1908</v>
      </c>
      <c r="I320" s="18">
        <v>207</v>
      </c>
      <c r="J320" s="18"/>
      <c r="K320" s="18"/>
      <c r="L320" s="19">
        <f t="shared" si="16"/>
        <v>12210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v>1983</v>
      </c>
      <c r="L323" s="19">
        <f t="shared" si="16"/>
        <v>1983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v>1000</v>
      </c>
      <c r="I324" s="18"/>
      <c r="J324" s="18"/>
      <c r="K324" s="18">
        <v>18</v>
      </c>
      <c r="L324" s="19">
        <f t="shared" si="16"/>
        <v>1018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86923</v>
      </c>
      <c r="G328" s="42">
        <f t="shared" si="17"/>
        <v>61773</v>
      </c>
      <c r="H328" s="42">
        <f t="shared" si="17"/>
        <v>2908</v>
      </c>
      <c r="I328" s="42">
        <f t="shared" si="17"/>
        <v>1014</v>
      </c>
      <c r="J328" s="42">
        <f t="shared" si="17"/>
        <v>0</v>
      </c>
      <c r="K328" s="42">
        <f t="shared" si="17"/>
        <v>2001</v>
      </c>
      <c r="L328" s="41">
        <f t="shared" si="17"/>
        <v>154619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8275</v>
      </c>
      <c r="G333" s="18">
        <f>944+2068</f>
        <v>3012</v>
      </c>
      <c r="H333" s="18">
        <f>2983+4313</f>
        <v>7296</v>
      </c>
      <c r="I333" s="18">
        <v>2839</v>
      </c>
      <c r="J333" s="18">
        <v>74222</v>
      </c>
      <c r="K333" s="18"/>
      <c r="L333" s="19">
        <f t="shared" si="18"/>
        <v>95644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33275</v>
      </c>
      <c r="G335" s="18">
        <v>6817</v>
      </c>
      <c r="H335" s="18"/>
      <c r="I335" s="18"/>
      <c r="J335" s="18"/>
      <c r="K335" s="18"/>
      <c r="L335" s="19">
        <f t="shared" si="18"/>
        <v>40092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41550</v>
      </c>
      <c r="G337" s="41">
        <f t="shared" si="19"/>
        <v>9829</v>
      </c>
      <c r="H337" s="41">
        <f t="shared" si="19"/>
        <v>7296</v>
      </c>
      <c r="I337" s="41">
        <f t="shared" si="19"/>
        <v>2839</v>
      </c>
      <c r="J337" s="41">
        <f t="shared" si="19"/>
        <v>74222</v>
      </c>
      <c r="K337" s="41">
        <f t="shared" si="19"/>
        <v>0</v>
      </c>
      <c r="L337" s="41">
        <f t="shared" si="18"/>
        <v>135736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640768</v>
      </c>
      <c r="G338" s="41">
        <f t="shared" si="20"/>
        <v>288458</v>
      </c>
      <c r="H338" s="41">
        <f t="shared" si="20"/>
        <v>35769</v>
      </c>
      <c r="I338" s="41">
        <f t="shared" si="20"/>
        <v>24396</v>
      </c>
      <c r="J338" s="41">
        <f t="shared" si="20"/>
        <v>84780</v>
      </c>
      <c r="K338" s="41">
        <f t="shared" si="20"/>
        <v>5124</v>
      </c>
      <c r="L338" s="41">
        <f t="shared" si="20"/>
        <v>1079295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640768</v>
      </c>
      <c r="G352" s="41">
        <f>G338</f>
        <v>288458</v>
      </c>
      <c r="H352" s="41">
        <f>H338</f>
        <v>35769</v>
      </c>
      <c r="I352" s="41">
        <f>I338</f>
        <v>24396</v>
      </c>
      <c r="J352" s="41">
        <f>J338</f>
        <v>84780</v>
      </c>
      <c r="K352" s="47">
        <f>K338+K351</f>
        <v>5124</v>
      </c>
      <c r="L352" s="41">
        <f>L338+L351</f>
        <v>1079295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17235+93100</f>
        <v>110335</v>
      </c>
      <c r="G358" s="18">
        <f>10494+28826</f>
        <v>39320</v>
      </c>
      <c r="H358" s="18">
        <f>473+5124</f>
        <v>5597</v>
      </c>
      <c r="I358" s="18">
        <f>1330+93731</f>
        <v>95061</v>
      </c>
      <c r="J358" s="18">
        <f>1062+3082</f>
        <v>4144</v>
      </c>
      <c r="K358" s="18">
        <f>1447+40</f>
        <v>1487</v>
      </c>
      <c r="L358" s="13">
        <f>SUM(F358:K358)</f>
        <v>255944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18079+109629</f>
        <v>127708</v>
      </c>
      <c r="G359" s="18">
        <f>11008+57375</f>
        <v>68383</v>
      </c>
      <c r="H359" s="18">
        <f>496+9481</f>
        <v>9977</v>
      </c>
      <c r="I359" s="18">
        <f>1396+145512</f>
        <v>146908</v>
      </c>
      <c r="J359" s="18">
        <f>1114+22725</f>
        <v>23839</v>
      </c>
      <c r="K359" s="18">
        <f>1518+40</f>
        <v>1558</v>
      </c>
      <c r="L359" s="19">
        <f>SUM(F359:K359)</f>
        <v>378373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22825+108006</f>
        <v>130831</v>
      </c>
      <c r="G360" s="18">
        <f>13898+43562</f>
        <v>57460</v>
      </c>
      <c r="H360" s="18">
        <f>627+6808</f>
        <v>7435</v>
      </c>
      <c r="I360" s="18">
        <f>1762+180491</f>
        <v>182253</v>
      </c>
      <c r="J360" s="18">
        <v>1406</v>
      </c>
      <c r="K360" s="18">
        <f>1916+485</f>
        <v>2401</v>
      </c>
      <c r="L360" s="19">
        <f>SUM(F360:K360)</f>
        <v>381786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 t="s">
        <v>913</v>
      </c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368874</v>
      </c>
      <c r="G362" s="47">
        <f t="shared" si="22"/>
        <v>165163</v>
      </c>
      <c r="H362" s="47">
        <f t="shared" si="22"/>
        <v>23009</v>
      </c>
      <c r="I362" s="47">
        <f t="shared" si="22"/>
        <v>424222</v>
      </c>
      <c r="J362" s="47">
        <f t="shared" si="22"/>
        <v>29389</v>
      </c>
      <c r="K362" s="47">
        <f t="shared" si="22"/>
        <v>5446</v>
      </c>
      <c r="L362" s="47">
        <f t="shared" si="22"/>
        <v>1016103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87168</v>
      </c>
      <c r="G367" s="18">
        <v>130632</v>
      </c>
      <c r="H367" s="18">
        <v>165260</v>
      </c>
      <c r="I367" s="56">
        <f>SUM(F367:H367)</f>
        <v>383060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7893</v>
      </c>
      <c r="G368" s="63">
        <v>16276</v>
      </c>
      <c r="H368" s="63">
        <v>16993</v>
      </c>
      <c r="I368" s="56">
        <f>SUM(F368:H368)</f>
        <v>41162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95061</v>
      </c>
      <c r="G369" s="47">
        <f>SUM(G367:G368)</f>
        <v>146908</v>
      </c>
      <c r="H369" s="47">
        <f>SUM(H367:H368)</f>
        <v>182253</v>
      </c>
      <c r="I369" s="47">
        <f>SUM(I367:I368)</f>
        <v>424222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191895</v>
      </c>
      <c r="I378" s="18">
        <v>445</v>
      </c>
      <c r="J378" s="18">
        <v>287502</v>
      </c>
      <c r="K378" s="18"/>
      <c r="L378" s="13">
        <f t="shared" si="23"/>
        <v>479842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153396</v>
      </c>
      <c r="I379" s="18"/>
      <c r="J379" s="18"/>
      <c r="K379" s="18">
        <v>9289</v>
      </c>
      <c r="L379" s="13">
        <f t="shared" si="23"/>
        <v>162685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345291</v>
      </c>
      <c r="I382" s="41">
        <f t="shared" si="24"/>
        <v>445</v>
      </c>
      <c r="J382" s="47">
        <f t="shared" si="24"/>
        <v>287502</v>
      </c>
      <c r="K382" s="47">
        <f t="shared" si="24"/>
        <v>9289</v>
      </c>
      <c r="L382" s="47">
        <f t="shared" si="24"/>
        <v>642527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>
        <v>626345</v>
      </c>
      <c r="H445" s="18"/>
      <c r="I445" s="56">
        <f t="shared" si="33"/>
        <v>626345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626345</v>
      </c>
      <c r="H446" s="13">
        <f>SUM(H439:H445)</f>
        <v>0</v>
      </c>
      <c r="I446" s="13">
        <f>SUM(I439:I445)</f>
        <v>626345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626345</v>
      </c>
      <c r="H459" s="18"/>
      <c r="I459" s="56">
        <f t="shared" si="34"/>
        <v>626345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626345</v>
      </c>
      <c r="H460" s="83">
        <f>SUM(H454:H459)</f>
        <v>0</v>
      </c>
      <c r="I460" s="83">
        <f>SUM(I454:I459)</f>
        <v>626345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626345</v>
      </c>
      <c r="H461" s="42">
        <f>H452+H460</f>
        <v>0</v>
      </c>
      <c r="I461" s="42">
        <f>I452+I460</f>
        <v>626345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3040397</v>
      </c>
      <c r="G465" s="18">
        <v>216172</v>
      </c>
      <c r="H465" s="18">
        <f>162402+53531</f>
        <v>215933</v>
      </c>
      <c r="I465" s="18">
        <v>0</v>
      </c>
      <c r="J465" s="18">
        <v>626345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38571391</v>
      </c>
      <c r="G468" s="18">
        <v>994607</v>
      </c>
      <c r="H468" s="18">
        <v>916893</v>
      </c>
      <c r="I468" s="18">
        <v>1092627</v>
      </c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38571391</v>
      </c>
      <c r="G470" s="53">
        <f>SUM(G468:G469)</f>
        <v>994607</v>
      </c>
      <c r="H470" s="53">
        <f>SUM(H468:H469)</f>
        <v>916893</v>
      </c>
      <c r="I470" s="53">
        <f>SUM(I468:I469)</f>
        <v>1092627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36246887+537659</f>
        <v>36784546</v>
      </c>
      <c r="G472" s="18">
        <v>1016103</v>
      </c>
      <c r="H472" s="18">
        <v>1079295</v>
      </c>
      <c r="I472" s="18">
        <v>642527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36784546</v>
      </c>
      <c r="G474" s="53">
        <f>SUM(G472:G473)</f>
        <v>1016103</v>
      </c>
      <c r="H474" s="53">
        <f>SUM(H472:H473)</f>
        <v>1079295</v>
      </c>
      <c r="I474" s="53">
        <f>SUM(I472:I473)</f>
        <v>642527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4827242</v>
      </c>
      <c r="G476" s="53">
        <f>(G465+G470)- G474</f>
        <v>194676</v>
      </c>
      <c r="H476" s="53">
        <f>(H465+H470)- H474</f>
        <v>53531</v>
      </c>
      <c r="I476" s="53">
        <f>(I465+I470)- I474</f>
        <v>450100</v>
      </c>
      <c r="J476" s="53">
        <f>(J465+J470)- J474</f>
        <v>626345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914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6015000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3.68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3480000</v>
      </c>
      <c r="G495" s="18"/>
      <c r="H495" s="18"/>
      <c r="I495" s="18"/>
      <c r="J495" s="18"/>
      <c r="K495" s="53">
        <f>SUM(F495:J495)</f>
        <v>3480000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615000</v>
      </c>
      <c r="G497" s="18"/>
      <c r="H497" s="18"/>
      <c r="I497" s="18"/>
      <c r="J497" s="18"/>
      <c r="K497" s="53">
        <f t="shared" si="35"/>
        <v>615000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2865000</v>
      </c>
      <c r="G498" s="204"/>
      <c r="H498" s="204"/>
      <c r="I498" s="204"/>
      <c r="J498" s="204"/>
      <c r="K498" s="205">
        <f t="shared" si="35"/>
        <v>2865000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575181-138700</f>
        <v>436481</v>
      </c>
      <c r="G499" s="18"/>
      <c r="H499" s="18"/>
      <c r="I499" s="18"/>
      <c r="J499" s="18"/>
      <c r="K499" s="53">
        <f t="shared" si="35"/>
        <v>436481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3301481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3301481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605000</v>
      </c>
      <c r="G501" s="204"/>
      <c r="H501" s="204"/>
      <c r="I501" s="204"/>
      <c r="J501" s="204"/>
      <c r="K501" s="205">
        <f t="shared" si="35"/>
        <v>605000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118425</v>
      </c>
      <c r="G502" s="18"/>
      <c r="H502" s="18"/>
      <c r="I502" s="18"/>
      <c r="J502" s="18"/>
      <c r="K502" s="53">
        <f t="shared" si="35"/>
        <v>118425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723425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723425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1264977+F277-F562</f>
        <v>1336341</v>
      </c>
      <c r="G521" s="18">
        <f>682710+G277-G562</f>
        <v>689519</v>
      </c>
      <c r="H521" s="18">
        <f>748154-H562</f>
        <v>747689</v>
      </c>
      <c r="I521" s="18">
        <f>15404-I562</f>
        <v>15329</v>
      </c>
      <c r="J521" s="18">
        <v>2530</v>
      </c>
      <c r="K521" s="18"/>
      <c r="L521" s="88">
        <f>SUM(F521:K521)</f>
        <v>2791408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F216+F296-F563</f>
        <v>1451848</v>
      </c>
      <c r="G522" s="18">
        <f>G216+91728-G563</f>
        <v>732060</v>
      </c>
      <c r="H522" s="18">
        <f>H216-H563</f>
        <v>342326</v>
      </c>
      <c r="I522" s="18">
        <f>I216-I563</f>
        <v>21764</v>
      </c>
      <c r="J522" s="18">
        <f>J216</f>
        <v>5612</v>
      </c>
      <c r="K522" s="18"/>
      <c r="L522" s="88">
        <f>SUM(F522:K522)</f>
        <v>2553610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F234+F315-F564</f>
        <v>1417922</v>
      </c>
      <c r="G523" s="18">
        <f>G234+43555-G564</f>
        <v>813892</v>
      </c>
      <c r="H523" s="18">
        <f>H234-H564</f>
        <v>342142</v>
      </c>
      <c r="I523" s="18">
        <f>I234-I564</f>
        <v>22878</v>
      </c>
      <c r="J523" s="18">
        <f>J234</f>
        <v>695</v>
      </c>
      <c r="K523" s="18"/>
      <c r="L523" s="88">
        <f>SUM(F523:K523)</f>
        <v>2597529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4206111</v>
      </c>
      <c r="G524" s="108">
        <f t="shared" ref="G524:L524" si="36">SUM(G521:G523)</f>
        <v>2235471</v>
      </c>
      <c r="H524" s="108">
        <f t="shared" si="36"/>
        <v>1432157</v>
      </c>
      <c r="I524" s="108">
        <f t="shared" si="36"/>
        <v>59971</v>
      </c>
      <c r="J524" s="108">
        <f t="shared" si="36"/>
        <v>8837</v>
      </c>
      <c r="K524" s="108">
        <f t="shared" si="36"/>
        <v>0</v>
      </c>
      <c r="L524" s="89">
        <f t="shared" si="36"/>
        <v>7942547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167753</v>
      </c>
      <c r="G526" s="18">
        <v>69310</v>
      </c>
      <c r="H526" s="18"/>
      <c r="I526" s="18"/>
      <c r="J526" s="18"/>
      <c r="K526" s="18"/>
      <c r="L526" s="88">
        <f>SUM(F526:K526)</f>
        <v>237063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89509</v>
      </c>
      <c r="G527" s="18">
        <v>38041</v>
      </c>
      <c r="H527" s="18"/>
      <c r="I527" s="18"/>
      <c r="J527" s="18"/>
      <c r="K527" s="18"/>
      <c r="L527" s="88">
        <f>SUM(F527:K527)</f>
        <v>127550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79422</v>
      </c>
      <c r="G528" s="18">
        <v>32166</v>
      </c>
      <c r="H528" s="18"/>
      <c r="I528" s="18"/>
      <c r="J528" s="18"/>
      <c r="K528" s="18"/>
      <c r="L528" s="88">
        <f>SUM(F528:K528)</f>
        <v>111588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336684</v>
      </c>
      <c r="G529" s="89">
        <f t="shared" ref="G529:L529" si="37">SUM(G526:G528)</f>
        <v>139517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476201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29595</v>
      </c>
      <c r="G531" s="18">
        <v>11779</v>
      </c>
      <c r="H531" s="18"/>
      <c r="I531" s="18"/>
      <c r="J531" s="18"/>
      <c r="K531" s="18"/>
      <c r="L531" s="88">
        <f>SUM(F531:K531)</f>
        <v>41374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16022</v>
      </c>
      <c r="G532" s="18">
        <v>6329</v>
      </c>
      <c r="H532" s="18"/>
      <c r="I532" s="18"/>
      <c r="J532" s="18"/>
      <c r="K532" s="18"/>
      <c r="L532" s="88">
        <f>SUM(F532:K532)</f>
        <v>22351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14217</v>
      </c>
      <c r="G533" s="18">
        <v>5616</v>
      </c>
      <c r="H533" s="18"/>
      <c r="I533" s="18"/>
      <c r="J533" s="18"/>
      <c r="K533" s="18"/>
      <c r="L533" s="88">
        <f>SUM(F533:K533)</f>
        <v>19833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59834</v>
      </c>
      <c r="G534" s="89">
        <f t="shared" ref="G534:L534" si="38">SUM(G531:G533)</f>
        <v>23724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83558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3582</v>
      </c>
      <c r="I536" s="18"/>
      <c r="J536" s="18"/>
      <c r="K536" s="18"/>
      <c r="L536" s="88">
        <f>SUM(F536:K536)</f>
        <v>3582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1791</v>
      </c>
      <c r="I537" s="18"/>
      <c r="J537" s="18"/>
      <c r="K537" s="18"/>
      <c r="L537" s="88">
        <f>SUM(F537:K537)</f>
        <v>1791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1791</v>
      </c>
      <c r="I538" s="18"/>
      <c r="J538" s="18"/>
      <c r="K538" s="18"/>
      <c r="L538" s="88">
        <f>SUM(F538:K538)</f>
        <v>1791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7164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7164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H592</f>
        <v>344678</v>
      </c>
      <c r="I541" s="18"/>
      <c r="J541" s="18"/>
      <c r="K541" s="18"/>
      <c r="L541" s="88">
        <f>SUM(F541:K541)</f>
        <v>344678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I592</f>
        <v>172339</v>
      </c>
      <c r="I542" s="18"/>
      <c r="J542" s="18"/>
      <c r="K542" s="18"/>
      <c r="L542" s="88">
        <f>SUM(F542:K542)</f>
        <v>172339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J592</f>
        <v>172339</v>
      </c>
      <c r="I543" s="18"/>
      <c r="J543" s="18"/>
      <c r="K543" s="18"/>
      <c r="L543" s="88">
        <f>SUM(F543:K543)</f>
        <v>172339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689356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689356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4602629</v>
      </c>
      <c r="G545" s="89">
        <f t="shared" ref="G545:L545" si="41">G524+G529+G534+G539+G544</f>
        <v>2398712</v>
      </c>
      <c r="H545" s="89">
        <f t="shared" si="41"/>
        <v>2128677</v>
      </c>
      <c r="I545" s="89">
        <f t="shared" si="41"/>
        <v>59971</v>
      </c>
      <c r="J545" s="89">
        <f t="shared" si="41"/>
        <v>8837</v>
      </c>
      <c r="K545" s="89">
        <f t="shared" si="41"/>
        <v>0</v>
      </c>
      <c r="L545" s="89">
        <f t="shared" si="41"/>
        <v>9198826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2791408</v>
      </c>
      <c r="G549" s="87">
        <f>L526</f>
        <v>237063</v>
      </c>
      <c r="H549" s="87">
        <f>L531</f>
        <v>41374</v>
      </c>
      <c r="I549" s="87">
        <f>L536</f>
        <v>3582</v>
      </c>
      <c r="J549" s="87">
        <f>L541</f>
        <v>344678</v>
      </c>
      <c r="K549" s="87">
        <f>SUM(F549:J549)</f>
        <v>3418105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2553610</v>
      </c>
      <c r="G550" s="87">
        <f>L527</f>
        <v>127550</v>
      </c>
      <c r="H550" s="87">
        <f>L532</f>
        <v>22351</v>
      </c>
      <c r="I550" s="87">
        <f>L537</f>
        <v>1791</v>
      </c>
      <c r="J550" s="87">
        <f>L542</f>
        <v>172339</v>
      </c>
      <c r="K550" s="87">
        <f>SUM(F550:J550)</f>
        <v>2877641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2597529</v>
      </c>
      <c r="G551" s="87">
        <f>L528</f>
        <v>111588</v>
      </c>
      <c r="H551" s="87">
        <f>L533</f>
        <v>19833</v>
      </c>
      <c r="I551" s="87">
        <f>L538</f>
        <v>1791</v>
      </c>
      <c r="J551" s="87">
        <f>L543</f>
        <v>172339</v>
      </c>
      <c r="K551" s="87">
        <f>SUM(F551:J551)</f>
        <v>2903080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7942547</v>
      </c>
      <c r="G552" s="89">
        <f t="shared" si="42"/>
        <v>476201</v>
      </c>
      <c r="H552" s="89">
        <f t="shared" si="42"/>
        <v>83558</v>
      </c>
      <c r="I552" s="89">
        <f t="shared" si="42"/>
        <v>7164</v>
      </c>
      <c r="J552" s="89">
        <f t="shared" si="42"/>
        <v>689356</v>
      </c>
      <c r="K552" s="89">
        <f t="shared" si="42"/>
        <v>9198826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39852</v>
      </c>
      <c r="G562" s="18">
        <v>24344</v>
      </c>
      <c r="H562" s="18">
        <v>465</v>
      </c>
      <c r="I562" s="18">
        <v>75</v>
      </c>
      <c r="J562" s="18"/>
      <c r="K562" s="18"/>
      <c r="L562" s="88">
        <f>SUM(F562:K562)</f>
        <v>64736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19926</v>
      </c>
      <c r="G563" s="18">
        <v>12172</v>
      </c>
      <c r="H563" s="18">
        <v>233</v>
      </c>
      <c r="I563" s="18">
        <v>38</v>
      </c>
      <c r="J563" s="18"/>
      <c r="K563" s="18"/>
      <c r="L563" s="88">
        <f>SUM(F563:K563)</f>
        <v>32369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19926</v>
      </c>
      <c r="G564" s="18">
        <v>12172</v>
      </c>
      <c r="H564" s="18">
        <v>233</v>
      </c>
      <c r="I564" s="18">
        <v>38</v>
      </c>
      <c r="J564" s="18"/>
      <c r="K564" s="18"/>
      <c r="L564" s="88">
        <f>SUM(F564:K564)</f>
        <v>32369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79704</v>
      </c>
      <c r="G565" s="89">
        <f t="shared" si="44"/>
        <v>48688</v>
      </c>
      <c r="H565" s="89">
        <f t="shared" si="44"/>
        <v>931</v>
      </c>
      <c r="I565" s="89">
        <f t="shared" si="44"/>
        <v>151</v>
      </c>
      <c r="J565" s="89">
        <f t="shared" si="44"/>
        <v>0</v>
      </c>
      <c r="K565" s="89">
        <f t="shared" si="44"/>
        <v>0</v>
      </c>
      <c r="L565" s="89">
        <f t="shared" si="44"/>
        <v>129474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79704</v>
      </c>
      <c r="G571" s="89">
        <f t="shared" ref="G571:L571" si="46">G560+G565+G570</f>
        <v>48688</v>
      </c>
      <c r="H571" s="89">
        <f t="shared" si="46"/>
        <v>931</v>
      </c>
      <c r="I571" s="89">
        <f t="shared" si="46"/>
        <v>151</v>
      </c>
      <c r="J571" s="89">
        <f t="shared" si="46"/>
        <v>0</v>
      </c>
      <c r="K571" s="89">
        <f t="shared" si="46"/>
        <v>0</v>
      </c>
      <c r="L571" s="89">
        <f t="shared" si="46"/>
        <v>129474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43993</v>
      </c>
      <c r="G579" s="18">
        <v>21996</v>
      </c>
      <c r="H579" s="18">
        <v>21996</v>
      </c>
      <c r="I579" s="87">
        <f t="shared" si="47"/>
        <v>87985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458980</v>
      </c>
      <c r="G582" s="18">
        <v>229488</v>
      </c>
      <c r="H582" s="18">
        <v>229489</v>
      </c>
      <c r="I582" s="87">
        <f t="shared" si="47"/>
        <v>917957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80000</v>
      </c>
      <c r="I584" s="87">
        <f t="shared" si="47"/>
        <v>80000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345581</v>
      </c>
      <c r="I591" s="18">
        <v>362501</v>
      </c>
      <c r="J591" s="18">
        <f>457673+1445+4587</f>
        <v>463705</v>
      </c>
      <c r="K591" s="104">
        <f t="shared" ref="K591:K597" si="48">SUM(H591:J591)</f>
        <v>1171787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344678</v>
      </c>
      <c r="I592" s="18">
        <v>172339</v>
      </c>
      <c r="J592" s="18">
        <v>172339</v>
      </c>
      <c r="K592" s="104">
        <f t="shared" si="48"/>
        <v>689356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47045</v>
      </c>
      <c r="K593" s="104">
        <f t="shared" si="48"/>
        <v>47045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18200</v>
      </c>
      <c r="J594" s="18">
        <v>54454</v>
      </c>
      <c r="K594" s="104">
        <f t="shared" si="48"/>
        <v>72654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5644</v>
      </c>
      <c r="I595" s="18">
        <v>2266</v>
      </c>
      <c r="J595" s="18">
        <v>6417</v>
      </c>
      <c r="K595" s="104">
        <f t="shared" si="48"/>
        <v>14327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15263</v>
      </c>
      <c r="I597" s="18">
        <v>7632</v>
      </c>
      <c r="J597" s="18">
        <v>7623</v>
      </c>
      <c r="K597" s="104">
        <f t="shared" si="48"/>
        <v>30518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711166</v>
      </c>
      <c r="I598" s="108">
        <f>SUM(I591:I597)</f>
        <v>562938</v>
      </c>
      <c r="J598" s="108">
        <f>SUM(J591:J597)</f>
        <v>751583</v>
      </c>
      <c r="K598" s="108">
        <f>SUM(K591:K597)</f>
        <v>2025687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29177+889+10558+2816</f>
        <v>43440</v>
      </c>
      <c r="I604" s="18">
        <f>77702+933</f>
        <v>78635</v>
      </c>
      <c r="J604" s="18">
        <f>200558+1178</f>
        <v>201736</v>
      </c>
      <c r="K604" s="104">
        <f>SUM(H604:J604)</f>
        <v>323811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43440</v>
      </c>
      <c r="I605" s="108">
        <f>SUM(I602:I604)</f>
        <v>78635</v>
      </c>
      <c r="J605" s="108">
        <f>SUM(J602:J604)</f>
        <v>201736</v>
      </c>
      <c r="K605" s="108">
        <f>SUM(K602:K604)</f>
        <v>323811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19669</v>
      </c>
      <c r="G611" s="18">
        <v>4719</v>
      </c>
      <c r="H611" s="18"/>
      <c r="I611" s="18">
        <v>1467</v>
      </c>
      <c r="J611" s="18"/>
      <c r="K611" s="18"/>
      <c r="L611" s="88">
        <f>SUM(F611:K611)</f>
        <v>25855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19669</v>
      </c>
      <c r="G614" s="108">
        <f t="shared" si="49"/>
        <v>4719</v>
      </c>
      <c r="H614" s="108">
        <f t="shared" si="49"/>
        <v>0</v>
      </c>
      <c r="I614" s="108">
        <f t="shared" si="49"/>
        <v>1467</v>
      </c>
      <c r="J614" s="108">
        <f t="shared" si="49"/>
        <v>0</v>
      </c>
      <c r="K614" s="108">
        <f t="shared" si="49"/>
        <v>0</v>
      </c>
      <c r="L614" s="89">
        <f t="shared" si="49"/>
        <v>25855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6613778</v>
      </c>
      <c r="H617" s="109">
        <f>SUM(F52)</f>
        <v>6613778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194676</v>
      </c>
      <c r="H618" s="109">
        <f>SUM(G52)</f>
        <v>194676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106882</v>
      </c>
      <c r="H619" s="109">
        <f>SUM(H52)</f>
        <v>106882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469064</v>
      </c>
      <c r="H620" s="109">
        <f>SUM(I52)</f>
        <v>469064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626345</v>
      </c>
      <c r="H621" s="109">
        <f>SUM(J52)</f>
        <v>626345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4827242</v>
      </c>
      <c r="H622" s="109">
        <f>F476</f>
        <v>4827242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194676</v>
      </c>
      <c r="H623" s="109">
        <f>G476</f>
        <v>194676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53531</v>
      </c>
      <c r="H624" s="109">
        <f>H476</f>
        <v>53531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450100</v>
      </c>
      <c r="H625" s="109">
        <f>I476</f>
        <v>450100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626345</v>
      </c>
      <c r="H626" s="109">
        <f>J476</f>
        <v>626345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38571391</v>
      </c>
      <c r="H627" s="104">
        <f>SUM(F468)</f>
        <v>38571391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994607</v>
      </c>
      <c r="H628" s="104">
        <f>SUM(G468)</f>
        <v>994607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916893</v>
      </c>
      <c r="H629" s="104">
        <f>SUM(H468)</f>
        <v>916893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1092627</v>
      </c>
      <c r="H630" s="104">
        <f>SUM(I468)</f>
        <v>1092627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36784546</v>
      </c>
      <c r="H632" s="104">
        <f>SUM(F472)</f>
        <v>36784546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1079295</v>
      </c>
      <c r="H633" s="104">
        <f>SUM(H472)</f>
        <v>1079295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424222</v>
      </c>
      <c r="H634" s="104">
        <f>I369</f>
        <v>424222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1016103</v>
      </c>
      <c r="H635" s="104">
        <f>SUM(G472)</f>
        <v>1016103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642527</v>
      </c>
      <c r="H636" s="104">
        <f>SUM(I472)</f>
        <v>642527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626345</v>
      </c>
      <c r="H640" s="104">
        <f>SUM(G461)</f>
        <v>626345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626345</v>
      </c>
      <c r="H642" s="104">
        <f>SUM(I461)</f>
        <v>626345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2025687</v>
      </c>
      <c r="H647" s="104">
        <f>L208+L226+L244</f>
        <v>2025687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323811</v>
      </c>
      <c r="H648" s="104">
        <f>(J257+J338)-(J255+J336)</f>
        <v>323811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711166</v>
      </c>
      <c r="H649" s="104">
        <f>H598</f>
        <v>711166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562938</v>
      </c>
      <c r="H650" s="104">
        <f>I598</f>
        <v>562938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751583</v>
      </c>
      <c r="H651" s="104">
        <f>J598</f>
        <v>751583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7689</v>
      </c>
      <c r="H652" s="104">
        <f>K263+K345</f>
        <v>7689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537659</v>
      </c>
      <c r="H654" s="104">
        <f>K265+K346</f>
        <v>537659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11207736</v>
      </c>
      <c r="G660" s="19">
        <f>(L229+L309+L359)</f>
        <v>11235570</v>
      </c>
      <c r="H660" s="19">
        <f>(L247+L328+L360)</f>
        <v>14797674</v>
      </c>
      <c r="I660" s="19">
        <f>SUM(F660:H660)</f>
        <v>37240980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171641.92249014127</v>
      </c>
      <c r="G661" s="19">
        <f>(L359/IF(SUM(L358:L360)=0,1,SUM(L358:L360))*(SUM(G97:G110)))</f>
        <v>253745.62067625031</v>
      </c>
      <c r="H661" s="19">
        <f>(L360/IF(SUM(L358:L360)=0,1,SUM(L358:L360))*(SUM(G97:G110)))</f>
        <v>256034.45683360842</v>
      </c>
      <c r="I661" s="19">
        <f>SUM(F661:H661)</f>
        <v>681422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711166</v>
      </c>
      <c r="G662" s="19">
        <f>(L226+L306)-(J226+J306)</f>
        <v>562938</v>
      </c>
      <c r="H662" s="19">
        <f>(L244+L325)-(J244+J325)</f>
        <v>751583</v>
      </c>
      <c r="I662" s="19">
        <f>SUM(F662:H662)</f>
        <v>2025687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572268</v>
      </c>
      <c r="G663" s="199">
        <f>SUM(G575:G587)+SUM(I602:I604)+L612</f>
        <v>330119</v>
      </c>
      <c r="H663" s="199">
        <f>SUM(H575:H587)+SUM(J602:J604)+L613</f>
        <v>533221</v>
      </c>
      <c r="I663" s="19">
        <f>SUM(F663:H663)</f>
        <v>1435608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9752660.0775098577</v>
      </c>
      <c r="G664" s="19">
        <f>G660-SUM(G661:G663)</f>
        <v>10088767.379323751</v>
      </c>
      <c r="H664" s="19">
        <f>H660-SUM(H661:H663)</f>
        <v>13256835.543166392</v>
      </c>
      <c r="I664" s="19">
        <f>I660-SUM(I661:I663)</f>
        <v>33098263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719.14</v>
      </c>
      <c r="G665" s="248">
        <v>858.64</v>
      </c>
      <c r="H665" s="248">
        <v>1091.22</v>
      </c>
      <c r="I665" s="19">
        <f>SUM(F665:H665)</f>
        <v>2669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13561.56</v>
      </c>
      <c r="G667" s="19">
        <f>ROUND(G664/G665,2)</f>
        <v>11749.71</v>
      </c>
      <c r="H667" s="19">
        <f>ROUND(H664/H665,2)</f>
        <v>12148.64</v>
      </c>
      <c r="I667" s="19">
        <f>ROUND(I664/I665,2)</f>
        <v>12401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-22.83</v>
      </c>
      <c r="I670" s="19">
        <f>SUM(F670:H670)</f>
        <v>-22.83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13561.56</v>
      </c>
      <c r="G672" s="19">
        <f>ROUND((G664+G669)/(G665+G670),2)</f>
        <v>11749.71</v>
      </c>
      <c r="H672" s="19">
        <f>ROUND((H664+H669)/(H665+H670),2)</f>
        <v>12408.24</v>
      </c>
      <c r="I672" s="19">
        <f>ROUND((I664+I669)/(I665+I670),2)</f>
        <v>12507.99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L38" sqref="L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Goffstown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10126547</v>
      </c>
      <c r="C9" s="229">
        <f>'DOE25'!G197+'DOE25'!G215+'DOE25'!G233+'DOE25'!G276+'DOE25'!G295+'DOE25'!G314</f>
        <v>4771898</v>
      </c>
    </row>
    <row r="10" spans="1:3" x14ac:dyDescent="0.2">
      <c r="A10" t="s">
        <v>779</v>
      </c>
      <c r="B10" s="240">
        <v>9628586</v>
      </c>
      <c r="C10" s="240">
        <v>4552730</v>
      </c>
    </row>
    <row r="11" spans="1:3" x14ac:dyDescent="0.2">
      <c r="A11" t="s">
        <v>780</v>
      </c>
      <c r="B11" s="240">
        <v>118248</v>
      </c>
      <c r="C11" s="240">
        <v>23766</v>
      </c>
    </row>
    <row r="12" spans="1:3" x14ac:dyDescent="0.2">
      <c r="A12" t="s">
        <v>781</v>
      </c>
      <c r="B12" s="240">
        <v>379713</v>
      </c>
      <c r="C12" s="240">
        <v>195402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10126547</v>
      </c>
      <c r="C13" s="231">
        <f>SUM(C10:C12)</f>
        <v>4771898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4285815</v>
      </c>
      <c r="C18" s="229">
        <f>'DOE25'!G198+'DOE25'!G216+'DOE25'!G234+'DOE25'!G277+'DOE25'!G296+'DOE25'!G315</f>
        <v>2284159</v>
      </c>
    </row>
    <row r="19" spans="1:3" x14ac:dyDescent="0.2">
      <c r="A19" t="s">
        <v>779</v>
      </c>
      <c r="B19" s="240">
        <v>2424671</v>
      </c>
      <c r="C19" s="240">
        <v>1169557</v>
      </c>
    </row>
    <row r="20" spans="1:3" x14ac:dyDescent="0.2">
      <c r="A20" t="s">
        <v>780</v>
      </c>
      <c r="B20" s="240">
        <v>1440393</v>
      </c>
      <c r="C20" s="240">
        <v>862623</v>
      </c>
    </row>
    <row r="21" spans="1:3" x14ac:dyDescent="0.2">
      <c r="A21" t="s">
        <v>781</v>
      </c>
      <c r="B21" s="240">
        <v>420751</v>
      </c>
      <c r="C21" s="240">
        <v>251979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4285815</v>
      </c>
      <c r="C22" s="231">
        <f>SUM(C19:C21)</f>
        <v>2284159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375358</v>
      </c>
      <c r="C36" s="235">
        <f>'DOE25'!G200+'DOE25'!G218+'DOE25'!G236+'DOE25'!G279+'DOE25'!G298+'DOE25'!G317</f>
        <v>121483</v>
      </c>
    </row>
    <row r="37" spans="1:3" x14ac:dyDescent="0.2">
      <c r="A37" t="s">
        <v>779</v>
      </c>
      <c r="B37" s="240">
        <v>19669</v>
      </c>
      <c r="C37" s="240">
        <v>5093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356089-400</f>
        <v>355689</v>
      </c>
      <c r="C39" s="240">
        <v>116390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375358</v>
      </c>
      <c r="C40" s="231">
        <f>SUM(C37:C39)</f>
        <v>121483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Goffstown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23868038</v>
      </c>
      <c r="D5" s="20">
        <f>SUM('DOE25'!L197:L200)+SUM('DOE25'!L215:L218)+SUM('DOE25'!L233:L236)-F5-G5</f>
        <v>23633025</v>
      </c>
      <c r="E5" s="243"/>
      <c r="F5" s="255">
        <f>SUM('DOE25'!J197:J200)+SUM('DOE25'!J215:J218)+SUM('DOE25'!J233:J236)</f>
        <v>210982</v>
      </c>
      <c r="G5" s="53">
        <f>SUM('DOE25'!K197:K200)+SUM('DOE25'!K215:K218)+SUM('DOE25'!K233:K236)</f>
        <v>24031</v>
      </c>
      <c r="H5" s="259"/>
    </row>
    <row r="6" spans="1:9" x14ac:dyDescent="0.2">
      <c r="A6" s="32">
        <v>2100</v>
      </c>
      <c r="B6" t="s">
        <v>801</v>
      </c>
      <c r="C6" s="245">
        <f t="shared" si="0"/>
        <v>2046776</v>
      </c>
      <c r="D6" s="20">
        <f>'DOE25'!L202+'DOE25'!L220+'DOE25'!L238-F6-G6</f>
        <v>2044803</v>
      </c>
      <c r="E6" s="243"/>
      <c r="F6" s="255">
        <f>'DOE25'!J202+'DOE25'!J220+'DOE25'!J238</f>
        <v>1455</v>
      </c>
      <c r="G6" s="53">
        <f>'DOE25'!K202+'DOE25'!K220+'DOE25'!K238</f>
        <v>518</v>
      </c>
      <c r="H6" s="259"/>
    </row>
    <row r="7" spans="1:9" x14ac:dyDescent="0.2">
      <c r="A7" s="32">
        <v>2200</v>
      </c>
      <c r="B7" t="s">
        <v>834</v>
      </c>
      <c r="C7" s="245">
        <f t="shared" si="0"/>
        <v>748900</v>
      </c>
      <c r="D7" s="20">
        <f>'DOE25'!L203+'DOE25'!L221+'DOE25'!L239-F7-G7</f>
        <v>746230</v>
      </c>
      <c r="E7" s="243"/>
      <c r="F7" s="255">
        <f>'DOE25'!J203+'DOE25'!J221+'DOE25'!J239</f>
        <v>2670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700606</v>
      </c>
      <c r="D8" s="243"/>
      <c r="E8" s="20">
        <f>'DOE25'!L204+'DOE25'!L222+'DOE25'!L240-F8-G8-D9-D11</f>
        <v>694415</v>
      </c>
      <c r="F8" s="255">
        <f>'DOE25'!J204+'DOE25'!J222+'DOE25'!J240</f>
        <v>0</v>
      </c>
      <c r="G8" s="53">
        <f>'DOE25'!K204+'DOE25'!K222+'DOE25'!K240</f>
        <v>6191</v>
      </c>
      <c r="H8" s="259"/>
    </row>
    <row r="9" spans="1:9" x14ac:dyDescent="0.2">
      <c r="A9" s="32">
        <v>2310</v>
      </c>
      <c r="B9" t="s">
        <v>818</v>
      </c>
      <c r="C9" s="245">
        <f t="shared" si="0"/>
        <v>73816</v>
      </c>
      <c r="D9" s="244">
        <v>73816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5500</v>
      </c>
      <c r="D10" s="243"/>
      <c r="E10" s="244">
        <v>5500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597388</v>
      </c>
      <c r="D11" s="244">
        <v>597388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2259471</v>
      </c>
      <c r="D12" s="20">
        <f>'DOE25'!L205+'DOE25'!L223+'DOE25'!L241-F12-G12</f>
        <v>2228431</v>
      </c>
      <c r="E12" s="243"/>
      <c r="F12" s="255">
        <f>'DOE25'!J205+'DOE25'!J223+'DOE25'!J241</f>
        <v>218</v>
      </c>
      <c r="G12" s="53">
        <f>'DOE25'!K205+'DOE25'!K223+'DOE25'!K241</f>
        <v>30822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2949546</v>
      </c>
      <c r="D14" s="20">
        <f>'DOE25'!L207+'DOE25'!L225+'DOE25'!L243-F14-G14</f>
        <v>2925840</v>
      </c>
      <c r="E14" s="243"/>
      <c r="F14" s="255">
        <f>'DOE25'!J207+'DOE25'!J225+'DOE25'!J243</f>
        <v>23706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2025687</v>
      </c>
      <c r="D15" s="20">
        <f>'DOE25'!L208+'DOE25'!L226+'DOE25'!L244-F15-G15</f>
        <v>2025687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11090</v>
      </c>
      <c r="D16" s="243"/>
      <c r="E16" s="20">
        <f>'DOE25'!L209+'DOE25'!L227+'DOE25'!L245-F16-G16</f>
        <v>11090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79002</v>
      </c>
      <c r="D17" s="20">
        <f>'DOE25'!L251-F17-G17</f>
        <v>78602</v>
      </c>
      <c r="E17" s="243"/>
      <c r="F17" s="255">
        <f>'DOE25'!J251</f>
        <v>0</v>
      </c>
      <c r="G17" s="53">
        <f>'DOE25'!K251</f>
        <v>400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753700</v>
      </c>
      <c r="D25" s="243"/>
      <c r="E25" s="243"/>
      <c r="F25" s="258"/>
      <c r="G25" s="256"/>
      <c r="H25" s="257">
        <f>'DOE25'!L260+'DOE25'!L261+'DOE25'!L341+'DOE25'!L342</f>
        <v>753700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633043</v>
      </c>
      <c r="D29" s="20">
        <f>'DOE25'!L358+'DOE25'!L359+'DOE25'!L360-'DOE25'!I367-F29-G29</f>
        <v>598208</v>
      </c>
      <c r="E29" s="243"/>
      <c r="F29" s="255">
        <f>'DOE25'!J358+'DOE25'!J359+'DOE25'!J360</f>
        <v>29389</v>
      </c>
      <c r="G29" s="53">
        <f>'DOE25'!K358+'DOE25'!K359+'DOE25'!K360</f>
        <v>5446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1079295</v>
      </c>
      <c r="D31" s="20">
        <f>'DOE25'!L290+'DOE25'!L309+'DOE25'!L328+'DOE25'!L333+'DOE25'!L334+'DOE25'!L335-F31-G31</f>
        <v>989391</v>
      </c>
      <c r="E31" s="243"/>
      <c r="F31" s="255">
        <f>'DOE25'!J290+'DOE25'!J309+'DOE25'!J328+'DOE25'!J333+'DOE25'!J334+'DOE25'!J335</f>
        <v>84780</v>
      </c>
      <c r="G31" s="53">
        <f>'DOE25'!K290+'DOE25'!K309+'DOE25'!K328+'DOE25'!K333+'DOE25'!K334+'DOE25'!K335</f>
        <v>5124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35941421</v>
      </c>
      <c r="E33" s="246">
        <f>SUM(E5:E31)</f>
        <v>711005</v>
      </c>
      <c r="F33" s="246">
        <f>SUM(F5:F31)</f>
        <v>353200</v>
      </c>
      <c r="G33" s="246">
        <f>SUM(G5:G31)</f>
        <v>72532</v>
      </c>
      <c r="H33" s="246">
        <f>SUM(H5:H31)</f>
        <v>753700</v>
      </c>
    </row>
    <row r="35" spans="2:8" ht="12" thickBot="1" x14ac:dyDescent="0.25">
      <c r="B35" s="253" t="s">
        <v>847</v>
      </c>
      <c r="D35" s="254">
        <f>E33</f>
        <v>711005</v>
      </c>
      <c r="E35" s="249"/>
    </row>
    <row r="36" spans="2:8" ht="12" thickTop="1" x14ac:dyDescent="0.2">
      <c r="B36" t="s">
        <v>815</v>
      </c>
      <c r="D36" s="20">
        <f>D33</f>
        <v>35941421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5" activePane="bottomLeft" state="frozen"/>
      <selection activeCell="F46" sqref="F46"/>
      <selection pane="bottomLeft" activeCell="C49" sqref="C4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Goffstown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6541235</v>
      </c>
      <c r="D8" s="95">
        <f>'DOE25'!G9</f>
        <v>105024</v>
      </c>
      <c r="E8" s="95">
        <f>'DOE25'!H9</f>
        <v>100634</v>
      </c>
      <c r="F8" s="95">
        <f>'DOE25'!I9</f>
        <v>156105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39181</v>
      </c>
      <c r="E11" s="95">
        <f>'DOE25'!H12</f>
        <v>0</v>
      </c>
      <c r="F11" s="95">
        <f>'DOE25'!I12</f>
        <v>312959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50471</v>
      </c>
      <c r="E12" s="95">
        <f>'DOE25'!H13</f>
        <v>6248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13826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58717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626345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6613778</v>
      </c>
      <c r="D18" s="41">
        <f>SUM(D8:D17)</f>
        <v>194676</v>
      </c>
      <c r="E18" s="41">
        <f>SUM(E8:E17)</f>
        <v>106882</v>
      </c>
      <c r="F18" s="41">
        <f>SUM(F8:F17)</f>
        <v>469064</v>
      </c>
      <c r="G18" s="41">
        <f>SUM(G8:G17)</f>
        <v>626345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90550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856</v>
      </c>
      <c r="F22" s="95">
        <f>'DOE25'!I23</f>
        <v>5001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982160</v>
      </c>
      <c r="D23" s="95">
        <f>'DOE25'!G24</f>
        <v>0</v>
      </c>
      <c r="E23" s="95">
        <f>'DOE25'!H24</f>
        <v>7842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13963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94885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603238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14177</v>
      </c>
      <c r="D29" s="95">
        <f>'DOE25'!G30</f>
        <v>0</v>
      </c>
      <c r="E29" s="95">
        <f>'DOE25'!H30</f>
        <v>44653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1526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1786536</v>
      </c>
      <c r="D31" s="41">
        <f>SUM(D21:D30)</f>
        <v>0</v>
      </c>
      <c r="E31" s="41">
        <f>SUM(E21:E30)</f>
        <v>53351</v>
      </c>
      <c r="F31" s="41">
        <f>SUM(F21:F30)</f>
        <v>18964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13826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61098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607931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505603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1251307</v>
      </c>
      <c r="D47" s="95">
        <f>'DOE25'!G48</f>
        <v>194676</v>
      </c>
      <c r="E47" s="95">
        <f>'DOE25'!H48</f>
        <v>53531</v>
      </c>
      <c r="F47" s="95">
        <f>'DOE25'!I48</f>
        <v>450100</v>
      </c>
      <c r="G47" s="95">
        <f>'DOE25'!J48</f>
        <v>626345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1546221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841256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4827242</v>
      </c>
      <c r="D50" s="41">
        <f>SUM(D34:D49)</f>
        <v>194676</v>
      </c>
      <c r="E50" s="41">
        <f>SUM(E34:E49)</f>
        <v>53531</v>
      </c>
      <c r="F50" s="41">
        <f>SUM(F34:F49)</f>
        <v>450100</v>
      </c>
      <c r="G50" s="41">
        <f>SUM(G34:G49)</f>
        <v>626345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6613778</v>
      </c>
      <c r="D51" s="41">
        <f>D50+D31</f>
        <v>194676</v>
      </c>
      <c r="E51" s="41">
        <f>E50+E31</f>
        <v>106882</v>
      </c>
      <c r="F51" s="41">
        <f>F50+F31</f>
        <v>469064</v>
      </c>
      <c r="G51" s="41">
        <f>G50+G31</f>
        <v>626345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20217673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7061388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8484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681422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40817</v>
      </c>
      <c r="D61" s="95">
        <f>SUM('DOE25'!G98:G110)</f>
        <v>0</v>
      </c>
      <c r="E61" s="95">
        <f>SUM('DOE25'!H98:H110)</f>
        <v>54714</v>
      </c>
      <c r="F61" s="95">
        <f>SUM('DOE25'!I98:I110)</f>
        <v>291100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7110689</v>
      </c>
      <c r="D62" s="130">
        <f>SUM(D57:D61)</f>
        <v>681422</v>
      </c>
      <c r="E62" s="130">
        <f>SUM(E57:E61)</f>
        <v>54714</v>
      </c>
      <c r="F62" s="130">
        <f>SUM(F57:F61)</f>
        <v>291100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27328362</v>
      </c>
      <c r="D63" s="22">
        <f>D56+D62</f>
        <v>681422</v>
      </c>
      <c r="E63" s="22">
        <f>E56+E62</f>
        <v>54714</v>
      </c>
      <c r="F63" s="22">
        <f>F56+F62</f>
        <v>291100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7102063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3167853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10269916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314567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297942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22576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12330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635085</v>
      </c>
      <c r="D78" s="130">
        <f>SUM(D72:D77)</f>
        <v>12330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10905001</v>
      </c>
      <c r="D81" s="130">
        <f>SUM(D79:D80)+D78+D70</f>
        <v>12330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338028</v>
      </c>
      <c r="D88" s="95">
        <f>SUM('DOE25'!G153:G161)</f>
        <v>293166</v>
      </c>
      <c r="E88" s="95">
        <f>SUM('DOE25'!H153:H161)</f>
        <v>862179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338028</v>
      </c>
      <c r="D91" s="131">
        <f>SUM(D85:D90)</f>
        <v>293166</v>
      </c>
      <c r="E91" s="131">
        <f>SUM(E85:E90)</f>
        <v>862179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7689</v>
      </c>
      <c r="E96" s="95">
        <f>'DOE25'!H179</f>
        <v>0</v>
      </c>
      <c r="F96" s="95">
        <f>'DOE25'!I179</f>
        <v>537659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263868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7689</v>
      </c>
      <c r="E103" s="86">
        <f>SUM(E93:E102)</f>
        <v>0</v>
      </c>
      <c r="F103" s="86">
        <f>SUM(F93:F102)</f>
        <v>801527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38571391</v>
      </c>
      <c r="D104" s="86">
        <f>D63+D81+D91+D103</f>
        <v>994607</v>
      </c>
      <c r="E104" s="86">
        <f>E63+E81+E91+E103</f>
        <v>916893</v>
      </c>
      <c r="F104" s="86">
        <f>F63+F81+F91+F103</f>
        <v>1092627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15596821</v>
      </c>
      <c r="D109" s="24" t="s">
        <v>289</v>
      </c>
      <c r="E109" s="95">
        <f>('DOE25'!L276)+('DOE25'!L295)+('DOE25'!L314)</f>
        <v>295553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7495833</v>
      </c>
      <c r="D110" s="24" t="s">
        <v>289</v>
      </c>
      <c r="E110" s="95">
        <f>('DOE25'!L277)+('DOE25'!L296)+('DOE25'!L315)</f>
        <v>513599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80000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695384</v>
      </c>
      <c r="D112" s="24" t="s">
        <v>289</v>
      </c>
      <c r="E112" s="95">
        <f>+('DOE25'!L279)+('DOE25'!L298)+('DOE25'!L317)</f>
        <v>24939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79002</v>
      </c>
      <c r="D114" s="24" t="s">
        <v>289</v>
      </c>
      <c r="E114" s="95">
        <f>+ SUM('DOE25'!L333:L335)</f>
        <v>135736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23947040</v>
      </c>
      <c r="D115" s="86">
        <f>SUM(D109:D114)</f>
        <v>0</v>
      </c>
      <c r="E115" s="86">
        <f>SUM(E109:E114)</f>
        <v>969827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2046776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748900</v>
      </c>
      <c r="D119" s="24" t="s">
        <v>289</v>
      </c>
      <c r="E119" s="95">
        <f>+('DOE25'!L282)+('DOE25'!L301)+('DOE25'!L320)</f>
        <v>102344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1371810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2259471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5052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2949546</v>
      </c>
      <c r="D123" s="24" t="s">
        <v>289</v>
      </c>
      <c r="E123" s="95">
        <f>+('DOE25'!L286)+('DOE25'!L305)+('DOE25'!L324)</f>
        <v>2072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2025687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11090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1016103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11413280</v>
      </c>
      <c r="D128" s="86">
        <f>SUM(D118:D127)</f>
        <v>1016103</v>
      </c>
      <c r="E128" s="86">
        <f>SUM(E118:E127)</f>
        <v>109468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642527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615000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138700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 t="str">
        <f>'DOE25'!K361</f>
        <v>`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7689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537659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125178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1424226</v>
      </c>
      <c r="D144" s="141">
        <f>SUM(D130:D143)</f>
        <v>0</v>
      </c>
      <c r="E144" s="141">
        <f>SUM(E130:E143)</f>
        <v>0</v>
      </c>
      <c r="F144" s="141">
        <f>SUM(F130:F143)</f>
        <v>642527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36784546</v>
      </c>
      <c r="D145" s="86">
        <f>(D115+D128+D144)</f>
        <v>1016103</v>
      </c>
      <c r="E145" s="86">
        <f>(E115+E128+E144)</f>
        <v>1079295</v>
      </c>
      <c r="F145" s="86">
        <f>(F115+F128+F144)</f>
        <v>642527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10/10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07/21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6015000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3.68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3480000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3480000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615000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615000</v>
      </c>
    </row>
    <row r="159" spans="1:9" x14ac:dyDescent="0.2">
      <c r="A159" s="22" t="s">
        <v>35</v>
      </c>
      <c r="B159" s="137">
        <f>'DOE25'!F498</f>
        <v>2865000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2865000</v>
      </c>
    </row>
    <row r="160" spans="1:9" x14ac:dyDescent="0.2">
      <c r="A160" s="22" t="s">
        <v>36</v>
      </c>
      <c r="B160" s="137">
        <f>'DOE25'!F499</f>
        <v>436481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436481</v>
      </c>
    </row>
    <row r="161" spans="1:7" x14ac:dyDescent="0.2">
      <c r="A161" s="22" t="s">
        <v>37</v>
      </c>
      <c r="B161" s="137">
        <f>'DOE25'!F500</f>
        <v>3301481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3301481</v>
      </c>
    </row>
    <row r="162" spans="1:7" x14ac:dyDescent="0.2">
      <c r="A162" s="22" t="s">
        <v>38</v>
      </c>
      <c r="B162" s="137">
        <f>'DOE25'!F501</f>
        <v>605000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605000</v>
      </c>
    </row>
    <row r="163" spans="1:7" x14ac:dyDescent="0.2">
      <c r="A163" s="22" t="s">
        <v>39</v>
      </c>
      <c r="B163" s="137">
        <f>'DOE25'!F502</f>
        <v>118425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118425</v>
      </c>
    </row>
    <row r="164" spans="1:7" x14ac:dyDescent="0.2">
      <c r="A164" s="22" t="s">
        <v>246</v>
      </c>
      <c r="B164" s="137">
        <f>'DOE25'!F503</f>
        <v>723425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723425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Goffstown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13562</v>
      </c>
    </row>
    <row r="5" spans="1:4" x14ac:dyDescent="0.2">
      <c r="B5" t="s">
        <v>704</v>
      </c>
      <c r="C5" s="179">
        <f>IF('DOE25'!G665+'DOE25'!G670=0,0,ROUND('DOE25'!G672,0))</f>
        <v>11750</v>
      </c>
    </row>
    <row r="6" spans="1:4" x14ac:dyDescent="0.2">
      <c r="B6" t="s">
        <v>62</v>
      </c>
      <c r="C6" s="179">
        <f>IF('DOE25'!H665+'DOE25'!H670=0,0,ROUND('DOE25'!H672,0))</f>
        <v>12408</v>
      </c>
    </row>
    <row r="7" spans="1:4" x14ac:dyDescent="0.2">
      <c r="B7" t="s">
        <v>705</v>
      </c>
      <c r="C7" s="179">
        <f>IF('DOE25'!I665+'DOE25'!I670=0,0,ROUND('DOE25'!I672,0))</f>
        <v>12508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15892374</v>
      </c>
      <c r="D10" s="182">
        <f>ROUND((C10/$C$28)*100,1)</f>
        <v>42.9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8009432</v>
      </c>
      <c r="D11" s="182">
        <f>ROUND((C11/$C$28)*100,1)</f>
        <v>21.6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80000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720323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2046776</v>
      </c>
      <c r="D15" s="182">
        <f t="shared" ref="D15:D27" si="0">ROUND((C15/$C$28)*100,1)</f>
        <v>5.5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851244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1382900</v>
      </c>
      <c r="D17" s="182">
        <f t="shared" si="0"/>
        <v>3.7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2259471</v>
      </c>
      <c r="D18" s="182">
        <f t="shared" si="0"/>
        <v>6.1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5052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2951618</v>
      </c>
      <c r="D20" s="182">
        <f t="shared" si="0"/>
        <v>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2025687</v>
      </c>
      <c r="D21" s="182">
        <f t="shared" si="0"/>
        <v>5.5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214738</v>
      </c>
      <c r="D24" s="182">
        <f t="shared" si="0"/>
        <v>0.6</v>
      </c>
    </row>
    <row r="25" spans="1:4" x14ac:dyDescent="0.2">
      <c r="A25">
        <v>5120</v>
      </c>
      <c r="B25" t="s">
        <v>720</v>
      </c>
      <c r="C25" s="179">
        <f>ROUND('DOE25'!L261+'DOE25'!L342,0)</f>
        <v>138700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125178</v>
      </c>
      <c r="D26" s="182">
        <f t="shared" si="0"/>
        <v>0.3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334681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37038174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642527</v>
      </c>
    </row>
    <row r="30" spans="1:4" x14ac:dyDescent="0.2">
      <c r="B30" s="187" t="s">
        <v>729</v>
      </c>
      <c r="C30" s="180">
        <f>SUM(C28:C29)</f>
        <v>37680701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615000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20217673</v>
      </c>
      <c r="D35" s="182">
        <f t="shared" ref="D35:D40" si="1">ROUND((C35/$C$41)*100,1)</f>
        <v>50.4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7456503</v>
      </c>
      <c r="D36" s="182">
        <f t="shared" si="1"/>
        <v>18.600000000000001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10269916</v>
      </c>
      <c r="D37" s="182">
        <f t="shared" si="1"/>
        <v>25.6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647415</v>
      </c>
      <c r="D38" s="182">
        <f t="shared" si="1"/>
        <v>1.6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1493373</v>
      </c>
      <c r="D39" s="182">
        <f t="shared" si="1"/>
        <v>3.7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40084880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Goffstown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2016-08-30T17:53:45Z</cp:lastPrinted>
  <dcterms:created xsi:type="dcterms:W3CDTF">1997-12-04T19:04:30Z</dcterms:created>
  <dcterms:modified xsi:type="dcterms:W3CDTF">2016-11-29T14:45:09Z</dcterms:modified>
</cp:coreProperties>
</file>