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497" i="1" l="1"/>
  <c r="F497" i="1"/>
  <c r="I507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C20" i="10" s="1"/>
  <c r="F15" i="13"/>
  <c r="G15" i="13"/>
  <c r="L208" i="1"/>
  <c r="L226" i="1"/>
  <c r="L244" i="1"/>
  <c r="F17" i="13"/>
  <c r="G17" i="13"/>
  <c r="L251" i="1"/>
  <c r="D17" i="13" s="1"/>
  <c r="C17" i="13" s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E114" i="2" s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C58" i="2" s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2" i="10"/>
  <c r="L250" i="1"/>
  <c r="L332" i="1"/>
  <c r="L254" i="1"/>
  <c r="C25" i="10"/>
  <c r="L268" i="1"/>
  <c r="L269" i="1"/>
  <c r="L349" i="1"/>
  <c r="L350" i="1"/>
  <c r="I665" i="1"/>
  <c r="I670" i="1"/>
  <c r="F662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D18" i="2" s="1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1" i="2"/>
  <c r="E112" i="2"/>
  <c r="C113" i="2"/>
  <c r="E113" i="2"/>
  <c r="D115" i="2"/>
  <c r="F115" i="2"/>
  <c r="G115" i="2"/>
  <c r="E118" i="2"/>
  <c r="E120" i="2"/>
  <c r="C121" i="2"/>
  <c r="E121" i="2"/>
  <c r="E122" i="2"/>
  <c r="E123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G257" i="1" s="1"/>
  <c r="G271" i="1" s="1"/>
  <c r="H247" i="1"/>
  <c r="I247" i="1"/>
  <c r="I257" i="1" s="1"/>
  <c r="I271" i="1" s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I408" i="1" s="1"/>
  <c r="F407" i="1"/>
  <c r="G407" i="1"/>
  <c r="H407" i="1"/>
  <c r="I407" i="1"/>
  <c r="F408" i="1"/>
  <c r="G408" i="1"/>
  <c r="H645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G461" i="1" s="1"/>
  <c r="H640" i="1" s="1"/>
  <c r="H460" i="1"/>
  <c r="F461" i="1"/>
  <c r="H461" i="1"/>
  <c r="F470" i="1"/>
  <c r="G470" i="1"/>
  <c r="H470" i="1"/>
  <c r="I470" i="1"/>
  <c r="J470" i="1"/>
  <c r="F474" i="1"/>
  <c r="F476" i="1" s="1"/>
  <c r="H622" i="1" s="1"/>
  <c r="J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J545" i="1" s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9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G641" i="1"/>
  <c r="H641" i="1"/>
  <c r="G643" i="1"/>
  <c r="H643" i="1"/>
  <c r="G644" i="1"/>
  <c r="G645" i="1"/>
  <c r="H647" i="1"/>
  <c r="G649" i="1"/>
  <c r="G650" i="1"/>
  <c r="G651" i="1"/>
  <c r="G652" i="1"/>
  <c r="H652" i="1"/>
  <c r="G653" i="1"/>
  <c r="H653" i="1"/>
  <c r="G654" i="1"/>
  <c r="H654" i="1"/>
  <c r="H655" i="1"/>
  <c r="J655" i="1" s="1"/>
  <c r="F192" i="1"/>
  <c r="G164" i="2"/>
  <c r="C18" i="2"/>
  <c r="C26" i="10"/>
  <c r="L328" i="1"/>
  <c r="L351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6" i="13"/>
  <c r="C6" i="13" s="1"/>
  <c r="E8" i="13"/>
  <c r="C8" i="13" s="1"/>
  <c r="C91" i="2"/>
  <c r="F78" i="2"/>
  <c r="F81" i="2" s="1"/>
  <c r="D31" i="2"/>
  <c r="C78" i="2"/>
  <c r="D50" i="2"/>
  <c r="G157" i="2"/>
  <c r="F18" i="2"/>
  <c r="G156" i="2"/>
  <c r="E103" i="2"/>
  <c r="D91" i="2"/>
  <c r="E62" i="2"/>
  <c r="E63" i="2" s="1"/>
  <c r="E31" i="2"/>
  <c r="D19" i="13"/>
  <c r="C19" i="13" s="1"/>
  <c r="D14" i="13"/>
  <c r="C14" i="13" s="1"/>
  <c r="E78" i="2"/>
  <c r="E81" i="2" s="1"/>
  <c r="L427" i="1"/>
  <c r="H112" i="1"/>
  <c r="F112" i="1"/>
  <c r="J641" i="1"/>
  <c r="J639" i="1"/>
  <c r="J571" i="1"/>
  <c r="K571" i="1"/>
  <c r="L433" i="1"/>
  <c r="L419" i="1"/>
  <c r="D81" i="2"/>
  <c r="I169" i="1"/>
  <c r="J643" i="1"/>
  <c r="J476" i="1"/>
  <c r="H626" i="1" s="1"/>
  <c r="H476" i="1"/>
  <c r="H624" i="1" s="1"/>
  <c r="J624" i="1" s="1"/>
  <c r="I476" i="1"/>
  <c r="H625" i="1" s="1"/>
  <c r="F169" i="1"/>
  <c r="J140" i="1"/>
  <c r="F571" i="1"/>
  <c r="H257" i="1"/>
  <c r="H271" i="1" s="1"/>
  <c r="I552" i="1"/>
  <c r="K549" i="1"/>
  <c r="K550" i="1"/>
  <c r="G22" i="2"/>
  <c r="K545" i="1"/>
  <c r="J552" i="1"/>
  <c r="H552" i="1"/>
  <c r="C29" i="10"/>
  <c r="H140" i="1"/>
  <c r="L401" i="1"/>
  <c r="C139" i="2" s="1"/>
  <c r="L393" i="1"/>
  <c r="C138" i="2" s="1"/>
  <c r="F22" i="13"/>
  <c r="H25" i="13"/>
  <c r="C25" i="13" s="1"/>
  <c r="H571" i="1"/>
  <c r="L560" i="1"/>
  <c r="G192" i="1"/>
  <c r="H192" i="1"/>
  <c r="F552" i="1"/>
  <c r="C35" i="10"/>
  <c r="L309" i="1"/>
  <c r="E16" i="13"/>
  <c r="C16" i="13" s="1"/>
  <c r="L570" i="1"/>
  <c r="G36" i="2"/>
  <c r="G545" i="1"/>
  <c r="K551" i="1"/>
  <c r="C22" i="13"/>
  <c r="H33" i="13"/>
  <c r="A13" i="12" l="1"/>
  <c r="J640" i="1"/>
  <c r="K605" i="1"/>
  <c r="G648" i="1" s="1"/>
  <c r="K598" i="1"/>
  <c r="G647" i="1" s="1"/>
  <c r="J647" i="1" s="1"/>
  <c r="J649" i="1"/>
  <c r="H545" i="1"/>
  <c r="I545" i="1"/>
  <c r="G552" i="1"/>
  <c r="L529" i="1"/>
  <c r="L545" i="1" s="1"/>
  <c r="K552" i="1"/>
  <c r="K503" i="1"/>
  <c r="G161" i="2"/>
  <c r="J645" i="1"/>
  <c r="J644" i="1"/>
  <c r="I460" i="1"/>
  <c r="I461" i="1" s="1"/>
  <c r="H642" i="1" s="1"/>
  <c r="J642" i="1" s="1"/>
  <c r="J636" i="1"/>
  <c r="G476" i="1"/>
  <c r="H623" i="1" s="1"/>
  <c r="J623" i="1" s="1"/>
  <c r="I369" i="1"/>
  <c r="H634" i="1" s="1"/>
  <c r="J634" i="1" s="1"/>
  <c r="F661" i="1"/>
  <c r="D127" i="2"/>
  <c r="D128" i="2" s="1"/>
  <c r="D145" i="2" s="1"/>
  <c r="D29" i="13"/>
  <c r="C29" i="13" s="1"/>
  <c r="H661" i="1"/>
  <c r="G661" i="1"/>
  <c r="L362" i="1"/>
  <c r="C27" i="10" s="1"/>
  <c r="H338" i="1"/>
  <c r="H352" i="1" s="1"/>
  <c r="G338" i="1"/>
  <c r="G352" i="1" s="1"/>
  <c r="E119" i="2"/>
  <c r="E128" i="2" s="1"/>
  <c r="F338" i="1"/>
  <c r="F352" i="1" s="1"/>
  <c r="E110" i="2"/>
  <c r="L290" i="1"/>
  <c r="E109" i="2"/>
  <c r="C21" i="10"/>
  <c r="J257" i="1"/>
  <c r="J271" i="1" s="1"/>
  <c r="L256" i="1"/>
  <c r="C114" i="2"/>
  <c r="H662" i="1"/>
  <c r="I662" i="1" s="1"/>
  <c r="C118" i="2"/>
  <c r="C124" i="2"/>
  <c r="C19" i="10"/>
  <c r="L247" i="1"/>
  <c r="H660" i="1" s="1"/>
  <c r="C112" i="2"/>
  <c r="F257" i="1"/>
  <c r="F271" i="1" s="1"/>
  <c r="E13" i="13"/>
  <c r="C13" i="13" s="1"/>
  <c r="K257" i="1"/>
  <c r="K271" i="1" s="1"/>
  <c r="C18" i="10"/>
  <c r="C122" i="2"/>
  <c r="C123" i="2"/>
  <c r="C120" i="2"/>
  <c r="C16" i="10"/>
  <c r="C15" i="10"/>
  <c r="C13" i="10"/>
  <c r="C11" i="10"/>
  <c r="L229" i="1"/>
  <c r="G660" i="1" s="1"/>
  <c r="C10" i="10"/>
  <c r="C17" i="10"/>
  <c r="D5" i="13"/>
  <c r="C5" i="13" s="1"/>
  <c r="C119" i="2"/>
  <c r="C110" i="2"/>
  <c r="C109" i="2"/>
  <c r="L211" i="1"/>
  <c r="J625" i="1"/>
  <c r="G625" i="1"/>
  <c r="H52" i="1"/>
  <c r="H619" i="1" s="1"/>
  <c r="J619" i="1" s="1"/>
  <c r="C62" i="2"/>
  <c r="C63" i="2" s="1"/>
  <c r="C81" i="2"/>
  <c r="J617" i="1"/>
  <c r="L337" i="1"/>
  <c r="L338" i="1" s="1"/>
  <c r="L352" i="1" s="1"/>
  <c r="G633" i="1" s="1"/>
  <c r="J633" i="1" s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G104" i="2" l="1"/>
  <c r="H664" i="1"/>
  <c r="H667" i="1" s="1"/>
  <c r="I661" i="1"/>
  <c r="G635" i="1"/>
  <c r="J635" i="1" s="1"/>
  <c r="G664" i="1"/>
  <c r="G667" i="1" s="1"/>
  <c r="E115" i="2"/>
  <c r="E145" i="2" s="1"/>
  <c r="D31" i="13"/>
  <c r="C31" i="13" s="1"/>
  <c r="H648" i="1"/>
  <c r="J648" i="1" s="1"/>
  <c r="E33" i="13"/>
  <c r="D35" i="13" s="1"/>
  <c r="C128" i="2"/>
  <c r="L257" i="1"/>
  <c r="L271" i="1" s="1"/>
  <c r="G632" i="1" s="1"/>
  <c r="J632" i="1" s="1"/>
  <c r="C28" i="10"/>
  <c r="D24" i="10" s="1"/>
  <c r="C115" i="2"/>
  <c r="F660" i="1"/>
  <c r="H646" i="1"/>
  <c r="J646" i="1" s="1"/>
  <c r="C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72" i="1" l="1"/>
  <c r="C5" i="10" s="1"/>
  <c r="H672" i="1"/>
  <c r="C6" i="10" s="1"/>
  <c r="D33" i="13"/>
  <c r="D36" i="13" s="1"/>
  <c r="C145" i="2"/>
  <c r="D16" i="10"/>
  <c r="D26" i="10"/>
  <c r="D10" i="10"/>
  <c r="D23" i="10"/>
  <c r="C30" i="10"/>
  <c r="D13" i="10"/>
  <c r="D21" i="10"/>
  <c r="D11" i="10"/>
  <c r="D22" i="10"/>
  <c r="D20" i="10"/>
  <c r="D15" i="10"/>
  <c r="D25" i="10"/>
  <c r="D19" i="10"/>
  <c r="D27" i="10"/>
  <c r="D18" i="10"/>
  <c r="D17" i="10"/>
  <c r="D12" i="10"/>
  <c r="F664" i="1"/>
  <c r="I660" i="1"/>
  <c r="I664" i="1" s="1"/>
  <c r="I672" i="1" s="1"/>
  <c r="C7" i="10" s="1"/>
  <c r="H656" i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<sst xmlns="http://schemas.openxmlformats.org/spreadsheetml/2006/main" count="3959" uniqueCount="917">
  <si>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</si>
  <si>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</si>
  <si>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</si>
  <si>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</si>
  <si>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</si>
  <si>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</si>
  <si>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</si>
  <si>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</si>
  <si>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</si>
  <si>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</si>
  <si>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</si>
  <si>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</si>
  <si>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</si>
  <si>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</si>
  <si>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</si>
  <si>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</si>
  <si>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</si>
  <si>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</si>
  <si>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</si>
  <si>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</si>
  <si>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</si>
  <si>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</si>
  <si>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</si>
  <si>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</si>
  <si>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</si>
  <si>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</si>
  <si>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</si>
  <si>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</si>
  <si>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</si>
  <si>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</si>
  <si>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</si>
  <si>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</si>
  <si>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</si>
  <si>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</si>
  <si>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</si>
  <si>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</si>
  <si>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</si>
  <si>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</si>
  <si>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</si>
  <si>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</si>
  <si>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</si>
  <si>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</si>
  <si>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</si>
  <si>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</si>
  <si>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</si>
  <si>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</si>
  <si>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</si>
  <si>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</si>
  <si>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</si>
  <si>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</si>
  <si>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</si>
  <si>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</si>
  <si>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</si>
  <si>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</si>
  <si>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</si>
  <si>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</si>
  <si>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</si>
  <si>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</si>
  <si>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</si>
  <si>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</si>
  <si>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</si>
  <si>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</si>
  <si>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</si>
  <si>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</si>
  <si>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</si>
  <si>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</si>
  <si>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</si>
  <si>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</si>
  <si>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</si>
  <si>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</si>
  <si>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</si>
  <si>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</si>
  <si>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</si>
  <si>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</si>
  <si>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</si>
  <si>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</si>
  <si>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</si>
  <si>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</si>
  <si>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</si>
  <si>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</si>
  <si>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</si>
  <si>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</si>
  <si>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</si>
  <si>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</si>
  <si>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</si>
  <si>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</si>
  <si>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</si>
  <si>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</si>
  <si>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</si>
  <si>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</si>
  <si>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</si>
  <si>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</si>
  <si>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</si>
  <si>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</si>
  <si>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</si>
  <si>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</si>
  <si>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</si>
  <si>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</si>
  <si>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</si>
  <si>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</si>
  <si>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</si>
  <si>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</si>
  <si>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</si>
  <si>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</si>
  <si>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</si>
  <si>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</si>
  <si>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</si>
  <si>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</si>
  <si>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</si>
  <si>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</si>
  <si>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</si>
  <si>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</si>
  <si>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</si>
  <si>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</si>
  <si>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</si>
  <si>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</si>
  <si>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</si>
  <si>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</si>
  <si>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</si>
  <si>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</si>
  <si>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</si>
  <si>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</si>
  <si>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</si>
  <si>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</si>
  <si>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</si>
  <si>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</si>
  <si>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</si>
  <si>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</si>
  <si>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</si>
  <si>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</si>
  <si>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</si>
  <si>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</si>
  <si>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</si>
  <si>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</si>
  <si>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</si>
  <si>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</si>
  <si>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</si>
  <si>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</si>
  <si>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</si>
  <si>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</si>
  <si>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</si>
  <si>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</si>
  <si>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</si>
  <si>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</si>
  <si>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</si>
  <si>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</si>
  <si>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</si>
  <si>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</si>
  <si>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</si>
  <si>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</si>
  <si>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</si>
  <si>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</si>
  <si>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</si>
  <si>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</si>
  <si>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</si>
  <si>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</si>
  <si>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</si>
  <si>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</si>
  <si>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</si>
  <si>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</si>
  <si>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</si>
  <si>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</si>
  <si>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</si>
  <si>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</si>
  <si>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</si>
  <si>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</si>
  <si>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</si>
  <si>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</si>
  <si>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</si>
  <si>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</si>
  <si>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</si>
  <si>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</si>
  <si>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</si>
  <si>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</si>
  <si>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</si>
  <si>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</si>
  <si>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</si>
  <si>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</si>
  <si>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</si>
  <si>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</si>
  <si>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</si>
  <si>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</si>
  <si>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</si>
  <si>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</si>
  <si>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</si>
  <si>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</si>
  <si>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</si>
  <si>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</si>
  <si>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</si>
  <si>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</si>
  <si>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</si>
  <si>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</si>
  <si>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</si>
  <si>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</si>
  <si>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</si>
  <si>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</si>
  <si>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</si>
  <si>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</si>
  <si>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</si>
  <si>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</si>
  <si>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</si>
  <si>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</si>
  <si>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</si>
  <si>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</si>
  <si>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</si>
  <si>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</si>
  <si>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</si>
  <si>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</si>
  <si>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</si>
  <si>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</si>
  <si>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</si>
  <si>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</si>
  <si>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</si>
  <si>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</si>
  <si>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</si>
  <si>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</si>
  <si>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</si>
  <si>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</si>
  <si>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</si>
  <si>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</si>
  <si>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</si>
  <si>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</si>
  <si>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</si>
  <si>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</si>
  <si>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</si>
  <si>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</si>
  <si>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</si>
  <si>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</si>
  <si>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</si>
  <si>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</si>
  <si>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</si>
  <si>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</si>
  <si>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</si>
  <si>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</si>
  <si>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</si>
  <si>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</si>
  <si>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</si>
  <si>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</si>
  <si>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</si>
  <si>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</si>
  <si>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</si>
  <si>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</si>
  <si>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</si>
  <si>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</si>
  <si>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</si>
  <si>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</si>
  <si>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</si>
  <si>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</si>
  <si>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</si>
  <si>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</si>
  <si>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</si>
  <si>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</si>
  <si>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</si>
  <si>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</si>
  <si>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</si>
  <si>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</si>
  <si>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</si>
  <si>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</si>
  <si>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</si>
  <si>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</si>
  <si>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</si>
  <si>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</si>
  <si>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</si>
  <si>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</si>
  <si>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</si>
  <si>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</si>
  <si>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</si>
  <si>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</si>
  <si>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</si>
  <si>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</si>
  <si>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</si>
  <si>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</si>
  <si>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</si>
  <si>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</si>
  <si>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</si>
  <si>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</si>
  <si>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</si>
  <si>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</si>
  <si>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</si>
  <si>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</si>
  <si>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</si>
  <si>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</si>
  <si>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</si>
  <si>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</si>
  <si>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</si>
  <si>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</si>
  <si>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</si>
  <si>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</si>
  <si>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</si>
  <si>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</si>
  <si>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</si>
  <si>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</si>
  <si>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</si>
  <si>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</si>
  <si>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</si>
  <si>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</si>
  <si>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</si>
  <si>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</si>
  <si>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</si>
  <si>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</si>
  <si>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</si>
  <si>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</si>
  <si>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</si>
  <si>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</si>
  <si>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</si>
  <si>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</si>
  <si>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</si>
  <si>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</si>
  <si>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</si>
  <si>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</si>
  <si>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</si>
  <si>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</si>
  <si>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</si>
  <si>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</si>
  <si>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</si>
  <si>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</si>
  <si>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</si>
  <si>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</si>
  <si>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</si>
  <si>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</si>
  <si>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</si>
  <si>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</si>
  <si>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</si>
  <si>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</si>
  <si>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</si>
  <si>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</si>
  <si>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</si>
  <si>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</si>
  <si>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</si>
  <si>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</si>
  <si>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</si>
  <si>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</si>
  <si>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</si>
  <si>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</si>
  <si>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</si>
  <si>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</si>
  <si>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</si>
  <si>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</si>
  <si>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</si>
  <si>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</si>
  <si>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</si>
  <si>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</si>
  <si>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</si>
  <si>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</si>
  <si>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</si>
  <si>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</si>
  <si>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</si>
  <si>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</si>
  <si>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</si>
  <si>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</si>
  <si>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</si>
  <si>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</si>
  <si>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</si>
  <si>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</si>
  <si>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</si>
  <si>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</si>
  <si>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</si>
  <si>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</si>
  <si>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</si>
  <si>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</si>
  <si>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</si>
  <si>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</si>
  <si>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</si>
  <si>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</si>
  <si>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</si>
  <si>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</si>
  <si>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</si>
  <si>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</si>
  <si>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</si>
  <si>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</si>
  <si>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</si>
  <si>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</si>
  <si>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</si>
  <si>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</si>
  <si>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</si>
  <si>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</si>
  <si>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</si>
  <si>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</si>
  <si>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</si>
  <si>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</si>
  <si>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</si>
  <si>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</si>
  <si>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</si>
  <si>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</si>
  <si>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</si>
  <si>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</si>
  <si>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</si>
  <si>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</si>
  <si>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</si>
  <si>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</si>
  <si>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</si>
  <si>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</si>
  <si>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</si>
  <si>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</si>
  <si>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</si>
  <si>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</si>
  <si>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</si>
  <si>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</si>
  <si>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</si>
  <si>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</si>
  <si>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</si>
  <si>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</si>
  <si>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</si>
  <si>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</si>
  <si>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</si>
  <si>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</si>
  <si>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</si>
  <si>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</si>
  <si>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</si>
  <si>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</si>
  <si>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</si>
  <si>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</si>
  <si>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</si>
  <si>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</si>
  <si>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</si>
  <si>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</si>
  <si>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</si>
  <si>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</si>
  <si>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</si>
  <si>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</si>
  <si>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</si>
  <si>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</si>
  <si>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</si>
  <si>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</si>
  <si>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</si>
  <si>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</si>
  <si>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</si>
  <si>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</si>
  <si>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</si>
  <si>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</si>
  <si>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</si>
  <si>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</si>
  <si>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</si>
  <si>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</si>
  <si>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</si>
  <si>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</si>
  <si>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</si>
  <si>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</si>
  <si>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</si>
  <si>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</si>
  <si>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</si>
  <si>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</si>
  <si>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</si>
  <si>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</si>
  <si>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</si>
  <si>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</si>
  <si>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</si>
  <si>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</si>
  <si>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</si>
  <si>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</si>
  <si>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</si>
  <si>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</si>
  <si>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</si>
  <si>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</si>
  <si>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</si>
  <si>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</si>
  <si>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</si>
  <si>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</si>
  <si>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</si>
  <si>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</si>
  <si>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</si>
  <si>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</si>
  <si>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</si>
  <si>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</si>
  <si>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</si>
  <si>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</si>
  <si>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</si>
  <si>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</si>
  <si>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</si>
  <si>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</si>
  <si>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</si>
  <si>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</si>
  <si>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</si>
  <si>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</si>
  <si>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</si>
  <si>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</si>
  <si>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</si>
  <si>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</si>
  <si>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</si>
  <si>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</si>
  <si>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</si>
  <si>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</si>
  <si>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</si>
  <si>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</si>
  <si>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</si>
  <si>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</si>
  <si>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</si>
  <si>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</si>
  <si>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</si>
  <si>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</si>
  <si>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</si>
  <si>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</si>
  <si>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</si>
  <si>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</si>
  <si>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</si>
  <si>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</si>
  <si>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</si>
  <si>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</si>
  <si>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</si>
  <si>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</si>
  <si>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</si>
  <si>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</si>
  <si>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</si>
  <si>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</si>
  <si>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</si>
  <si>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</si>
  <si>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</si>
  <si>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</si>
  <si>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</si>
  <si>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</si>
  <si>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</si>
  <si>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</si>
  <si>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</si>
  <si>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</si>
  <si>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</si>
  <si>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</si>
  <si>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</si>
  <si>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</si>
  <si>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</si>
  <si>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</si>
  <si>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</si>
  <si>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</si>
  <si>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</si>
  <si>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</si>
  <si>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</si>
  <si>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</si>
  <si>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</si>
  <si>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</si>
  <si>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</si>
  <si>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</si>
  <si>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</si>
  <si>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</si>
  <si>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</si>
  <si>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</si>
  <si>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</si>
  <si>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</si>
  <si>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</si>
  <si>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</si>
  <si>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</si>
  <si>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</si>
  <si>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</si>
  <si>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</si>
  <si>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</si>
  <si>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</si>
  <si>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</si>
  <si>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</si>
  <si>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</si>
  <si>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</si>
  <si>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</si>
  <si>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</si>
  <si>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</si>
  <si>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</si>
  <si>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</si>
  <si>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</si>
  <si>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</si>
  <si>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</si>
  <si>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</si>
  <si>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</si>
  <si>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</si>
  <si>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</si>
  <si>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</si>
  <si>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</si>
  <si>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</si>
  <si>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</si>
  <si>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</si>
  <si>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</si>
  <si>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</si>
  <si>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</si>
  <si>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</si>
  <si>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</si>
  <si>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</si>
  <si>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</si>
  <si>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</si>
  <si>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</si>
  <si>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</si>
  <si>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</si>
  <si>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</si>
  <si>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</si>
  <si>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</si>
  <si>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</si>
  <si>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</si>
  <si>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</si>
  <si>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</si>
  <si>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</si>
  <si>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</si>
  <si>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</si>
  <si>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</si>
  <si>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</si>
  <si>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</si>
  <si>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</si>
  <si>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</si>
  <si>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</si>
  <si>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</si>
  <si>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</si>
  <si>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</si>
  <si>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</si>
  <si>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</si>
  <si>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</si>
  <si>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</si>
  <si>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</si>
  <si>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</si>
  <si>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</si>
  <si>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</si>
  <si>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</si>
  <si>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</si>
  <si>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</si>
  <si>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</si>
  <si>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</si>
  <si>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</si>
  <si>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</si>
  <si>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</si>
  <si>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</si>
  <si>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</si>
  <si>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</si>
  <si>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</si>
  <si>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</si>
  <si>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</si>
  <si>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</si>
  <si>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</si>
  <si>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</si>
  <si>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</si>
  <si>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</si>
  <si>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</si>
  <si>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</si>
  <si>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</si>
  <si>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</si>
  <si>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</si>
  <si>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</si>
  <si>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</si>
  <si>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</si>
  <si>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</si>
  <si>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</si>
  <si>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</si>
  <si>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</si>
  <si>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</si>
  <si>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</si>
  <si>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</si>
  <si>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</si>
  <si>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</si>
  <si>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</si>
  <si>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</si>
  <si>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</si>
  <si>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</si>
  <si>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</si>
  <si>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</si>
  <si>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</si>
  <si>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</si>
  <si>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</si>
  <si>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</si>
  <si>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</si>
  <si>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</si>
  <si>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</si>
  <si>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</si>
  <si>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</si>
  <si>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</si>
  <si>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</si>
  <si>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</si>
  <si>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</si>
  <si>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</si>
  <si>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</si>
  <si>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</si>
  <si>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</si>
  <si>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</si>
  <si>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</si>
  <si>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</si>
  <si>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</si>
  <si>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</si>
  <si>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</si>
  <si>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</si>
  <si>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</si>
  <si>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</si>
  <si>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</si>
  <si>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</si>
  <si>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</si>
  <si>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</si>
  <si>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</si>
  <si>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</si>
  <si>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</si>
  <si>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</si>
  <si>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</si>
  <si>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</si>
  <si>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</si>
  <si>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</si>
  <si>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</si>
  <si>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</si>
  <si>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</si>
  <si>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</si>
  <si>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</si>
  <si>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</si>
  <si>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</si>
  <si>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</si>
  <si>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</si>
  <si>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</si>
  <si>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</si>
  <si>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</si>
  <si>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</si>
  <si>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</si>
  <si>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</si>
  <si>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</si>
  <si>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</si>
  <si>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</si>
  <si>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</si>
  <si>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</si>
  <si>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</si>
  <si>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</si>
  <si>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</si>
  <si>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</si>
  <si>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</si>
  <si>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</si>
  <si>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</si>
  <si>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</si>
  <si>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</si>
  <si>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</si>
  <si>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</si>
  <si>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</si>
  <si>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</si>
  <si>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</si>
  <si>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</si>
  <si>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</si>
  <si>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</si>
  <si>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</si>
  <si>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</si>
  <si>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</si>
  <si>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</si>
  <si>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</si>
  <si>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</si>
  <si>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</si>
  <si>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</si>
  <si>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</si>
  <si>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</si>
  <si>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</si>
  <si>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</si>
  <si>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</si>
  <si>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</si>
  <si>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</si>
  <si>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</si>
  <si>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</si>
  <si>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</si>
  <si>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</si>
  <si>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</si>
  <si>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</si>
  <si>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</si>
  <si>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</si>
  <si>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</si>
  <si>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</si>
  <si>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</si>
  <si>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</si>
  <si>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</si>
  <si>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</si>
  <si>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</si>
  <si>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</si>
  <si>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</si>
  <si>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</si>
  <si>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</si>
  <si>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</si>
  <si>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</si>
  <si>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</si>
  <si>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</si>
  <si>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</si>
  <si>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</si>
  <si>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</si>
  <si>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</si>
  <si>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</si>
  <si>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</si>
  <si>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</si>
  <si>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</si>
  <si>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</si>
  <si>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</si>
  <si>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</si>
  <si>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</si>
  <si>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</si>
  <si>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</si>
  <si>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</si>
  <si>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</si>
  <si>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</si>
  <si>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</si>
  <si>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</si>
  <si>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</si>
  <si>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</si>
  <si>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</si>
  <si>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</si>
  <si>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</si>
  <si>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</si>
  <si>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</si>
  <si>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</si>
  <si>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</si>
  <si>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</si>
  <si>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</si>
  <si>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</si>
  <si>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</si>
  <si>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</si>
  <si>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</si>
  <si>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</si>
  <si>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</si>
  <si>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</si>
  <si>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</si>
  <si>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</si>
  <si>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</si>
  <si>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</si>
  <si>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</si>
  <si>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</si>
  <si>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</si>
  <si>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</si>
  <si>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</si>
  <si>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</si>
  <si>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</si>
  <si>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</si>
  <si>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</si>
  <si>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</si>
  <si>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</si>
  <si>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</si>
  <si>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</si>
  <si>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</si>
  <si>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</si>
  <si>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</si>
  <si>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</si>
  <si>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</si>
  <si>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</si>
  <si>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</si>
  <si>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</si>
  <si>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</si>
  <si>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</si>
  <si>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</si>
  <si>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</si>
  <si>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</si>
  <si>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</si>
  <si>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</si>
  <si>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</si>
  <si>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</si>
  <si>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</si>
  <si>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</si>
  <si>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</si>
  <si>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</si>
  <si>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</si>
  <si>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</si>
  <si>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</si>
  <si>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</si>
  <si>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</si>
  <si>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</si>
  <si>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</si>
  <si>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</si>
  <si>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</si>
  <si>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</si>
  <si>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</si>
  <si>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</si>
  <si>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</si>
  <si>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</si>
  <si>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</si>
  <si>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</si>
  <si>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</si>
  <si>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</si>
  <si>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</si>
  <si>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</si>
  <si>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</si>
  <si>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</si>
  <si>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</si>
  <si>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</si>
  <si>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</si>
  <si>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</si>
  <si>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</si>
  <si>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</si>
  <si>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</si>
  <si>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</si>
  <si>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</si>
  <si>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</si>
  <si>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</si>
  <si>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</si>
  <si>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</si>
  <si>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</si>
  <si>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</si>
  <si>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</si>
  <si>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</si>
  <si>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</si>
  <si>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</si>
  <si>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</si>
  <si>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</si>
  <si>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</si>
  <si>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</si>
  <si>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</si>
  <si>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</si>
  <si>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</si>
  <si>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</si>
  <si>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</si>
  <si>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</si>
  <si>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</si>
  <si>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</si>
  <si>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</si>
  <si>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</si>
  <si>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</si>
  <si>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</si>
  <si>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</si>
  <si>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</si>
  <si>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</si>
  <si>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</si>
  <si>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</si>
  <si>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</si>
  <si>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</si>
  <si>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</si>
  <si>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</si>
  <si>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</si>
  <si>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</si>
  <si>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</si>
  <si>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</si>
  <si>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</si>
  <si>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</si>
  <si>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</si>
  <si>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</si>
  <si>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</si>
  <si>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</si>
  <si>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</si>
  <si>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</si>
  <si>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</si>
  <si>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07/09</t>
  </si>
  <si>
    <t>07/10</t>
  </si>
  <si>
    <t>07/39</t>
  </si>
  <si>
    <t>08/40</t>
  </si>
  <si>
    <t>Governor WentworthRegional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</si>
</sst>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916</v>
      </c>
      <c r="B2" s="21">
        <v>208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1164178.29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10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343809.94</v>
      </c>
      <c r="G12" s="18">
        <v>26141.119999999999</v>
      </c>
      <c r="H12" s="18"/>
      <c r="I12" s="18">
        <v>65388.04</v>
      </c>
      <c r="J12" s="67">
        <f>SUM(I441)</f>
        <v>44042.7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673325.35</v>
      </c>
      <c r="G13" s="18">
        <v>36149.01</v>
      </c>
      <c r="H13" s="18">
        <v>574001.42000000004</v>
      </c>
      <c r="I13" s="18"/>
      <c r="J13" s="67">
        <f>SUM(I442)</f>
        <v>1355162.66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6035.09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2187358.67</v>
      </c>
      <c r="G19" s="41">
        <f>SUM(G9:G18)</f>
        <v>62290.130000000005</v>
      </c>
      <c r="H19" s="41">
        <f>SUM(H9:H18)</f>
        <v>574001.42000000004</v>
      </c>
      <c r="I19" s="41">
        <f>SUM(I9:I18)</f>
        <v>65388.04</v>
      </c>
      <c r="J19" s="41">
        <f>SUM(J9:J18)</f>
        <v>1399205.3599999999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492755.25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231775.78</v>
      </c>
      <c r="G28" s="18">
        <v>14906.02</v>
      </c>
      <c r="H28" s="18">
        <v>29487.919999999998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191325.4</v>
      </c>
      <c r="G30" s="18">
        <v>18501.060000000001</v>
      </c>
      <c r="H30" s="18">
        <v>51758.25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423101.18</v>
      </c>
      <c r="G32" s="41">
        <f>SUM(G22:G31)</f>
        <v>33407.08</v>
      </c>
      <c r="H32" s="41">
        <f>SUM(H22:H31)</f>
        <v>574001.41999999993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28883.05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60000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>
        <v>65388.04</v>
      </c>
      <c r="J48" s="13">
        <f>SUM(I459)</f>
        <v>1399205.36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25111.25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1679146.24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1764257.49</v>
      </c>
      <c r="G51" s="41">
        <f>SUM(G35:G50)</f>
        <v>28883.05</v>
      </c>
      <c r="H51" s="41">
        <f>SUM(H35:H50)</f>
        <v>0</v>
      </c>
      <c r="I51" s="41">
        <f>SUM(I35:I50)</f>
        <v>65388.04</v>
      </c>
      <c r="J51" s="41">
        <f>SUM(J35:J50)</f>
        <v>1399205.36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2187358.67</v>
      </c>
      <c r="G52" s="41">
        <f>G51+G32</f>
        <v>62290.130000000005</v>
      </c>
      <c r="H52" s="41">
        <f>H51+H32</f>
        <v>574001.41999999993</v>
      </c>
      <c r="I52" s="41">
        <f>I51+I32</f>
        <v>65388.04</v>
      </c>
      <c r="J52" s="41">
        <f>J51+J32</f>
        <v>1399205.36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24946649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24946649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15973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5312.5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1327796.02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192496.58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174777.29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14682.55</v>
      </c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1731037.9400000002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677.14</v>
      </c>
      <c r="G96" s="18"/>
      <c r="H96" s="18"/>
      <c r="I96" s="18"/>
      <c r="J96" s="18">
        <v>46057.03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490463.93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8799.59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2270</v>
      </c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3362.92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>
        <v>3898.56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51.7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509088.63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524249.98</v>
      </c>
      <c r="G111" s="41">
        <f>SUM(G96:G110)</f>
        <v>490463.93</v>
      </c>
      <c r="H111" s="41">
        <f>SUM(H96:H110)</f>
        <v>0</v>
      </c>
      <c r="I111" s="41">
        <f>SUM(I96:I110)</f>
        <v>0</v>
      </c>
      <c r="J111" s="41">
        <f>SUM(J96:J110)</f>
        <v>49955.59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27201936.920000002</v>
      </c>
      <c r="G112" s="41">
        <f>G60+G111</f>
        <v>490463.93</v>
      </c>
      <c r="H112" s="41">
        <f>H60+H79+H94+H111</f>
        <v>0</v>
      </c>
      <c r="I112" s="41">
        <f>I60+I111</f>
        <v>0</v>
      </c>
      <c r="J112" s="41">
        <f>J60+J111</f>
        <v>49955.59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4036025.55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10468683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14504708.550000001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1642827.66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109499.05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237334.97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11917.67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1989661.68</v>
      </c>
      <c r="G136" s="41">
        <f>SUM(G123:G135)</f>
        <v>11917.67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16494370.23</v>
      </c>
      <c r="G140" s="41">
        <f>G121+SUM(G136:G137)</f>
        <v>11917.67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657376.55000000005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264945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134429.29999999999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128434.97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518861.16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487572.47999999998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518861.16</v>
      </c>
      <c r="H162" s="41">
        <f>SUM(H150:H161)</f>
        <v>1672758.3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0</v>
      </c>
      <c r="G169" s="41">
        <f>G147+G162+SUM(G163:G168)</f>
        <v>518861.16</v>
      </c>
      <c r="H169" s="41">
        <f>H147+H162+SUM(H163:H168)</f>
        <v>1672758.3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60000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60000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60000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43696307.150000006</v>
      </c>
      <c r="G193" s="47">
        <f>G112+G140+G169+G192</f>
        <v>1021242.76</v>
      </c>
      <c r="H193" s="47">
        <f>H112+H140+H169+H192</f>
        <v>1672758.3</v>
      </c>
      <c r="I193" s="47">
        <f>I112+I140+I169+I192</f>
        <v>0</v>
      </c>
      <c r="J193" s="47">
        <f>J112+J140+J192</f>
        <v>109955.59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5549857.4400000004</v>
      </c>
      <c r="G197" s="18">
        <v>2788432.84</v>
      </c>
      <c r="H197" s="18">
        <v>5229.1099999999997</v>
      </c>
      <c r="I197" s="18">
        <v>235218.73</v>
      </c>
      <c r="J197" s="18">
        <v>88235.74</v>
      </c>
      <c r="K197" s="18"/>
      <c r="L197" s="19">
        <f>SUM(F197:K197)</f>
        <v>8666973.8600000013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2506362.1800000002</v>
      </c>
      <c r="G198" s="18">
        <v>1262992.56</v>
      </c>
      <c r="H198" s="18">
        <v>762837.07</v>
      </c>
      <c r="I198" s="18">
        <v>28409.15</v>
      </c>
      <c r="J198" s="18">
        <v>3646.38</v>
      </c>
      <c r="K198" s="18">
        <v>522.5</v>
      </c>
      <c r="L198" s="19">
        <f>SUM(F198:K198)</f>
        <v>4564769.8400000008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19188.04</v>
      </c>
      <c r="G200" s="18">
        <v>2374.6</v>
      </c>
      <c r="H200" s="18"/>
      <c r="I200" s="18"/>
      <c r="J200" s="18"/>
      <c r="K200" s="18"/>
      <c r="L200" s="19">
        <f>SUM(F200:K200)</f>
        <v>21562.639999999999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502017.04</v>
      </c>
      <c r="G202" s="18">
        <v>288782.65000000002</v>
      </c>
      <c r="H202" s="18">
        <v>167980.46</v>
      </c>
      <c r="I202" s="18">
        <v>5601.84</v>
      </c>
      <c r="J202" s="18">
        <v>38.270000000000003</v>
      </c>
      <c r="K202" s="18"/>
      <c r="L202" s="19">
        <f t="shared" ref="L202:L208" si="0">SUM(F202:K202)</f>
        <v>964420.25999999989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342713.61</v>
      </c>
      <c r="G203" s="18">
        <v>250399.54</v>
      </c>
      <c r="H203" s="18">
        <v>33275.74</v>
      </c>
      <c r="I203" s="18">
        <v>89824.74</v>
      </c>
      <c r="J203" s="18">
        <v>13560.79</v>
      </c>
      <c r="K203" s="18"/>
      <c r="L203" s="19">
        <f t="shared" si="0"/>
        <v>729774.42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236878.36</v>
      </c>
      <c r="G204" s="18">
        <v>120271.63</v>
      </c>
      <c r="H204" s="18">
        <v>48457.29</v>
      </c>
      <c r="I204" s="18">
        <v>12214.66</v>
      </c>
      <c r="J204" s="18">
        <v>946.08</v>
      </c>
      <c r="K204" s="18">
        <v>4761.8599999999997</v>
      </c>
      <c r="L204" s="19">
        <f t="shared" si="0"/>
        <v>423529.87999999995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748506.87</v>
      </c>
      <c r="G205" s="18">
        <v>459453.27</v>
      </c>
      <c r="H205" s="18">
        <v>152776.44</v>
      </c>
      <c r="I205" s="18">
        <v>12799.37</v>
      </c>
      <c r="J205" s="18">
        <v>9361.16</v>
      </c>
      <c r="K205" s="18">
        <v>2264.86</v>
      </c>
      <c r="L205" s="19">
        <f t="shared" si="0"/>
        <v>1385161.9700000002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143980.76</v>
      </c>
      <c r="G206" s="18">
        <v>67835.91</v>
      </c>
      <c r="H206" s="18">
        <v>15456.9</v>
      </c>
      <c r="I206" s="18">
        <v>7169.24</v>
      </c>
      <c r="J206" s="18">
        <v>325.31</v>
      </c>
      <c r="K206" s="18">
        <v>7137.71</v>
      </c>
      <c r="L206" s="19">
        <f t="shared" si="0"/>
        <v>241905.83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701559.36</v>
      </c>
      <c r="G207" s="18">
        <v>359853.5</v>
      </c>
      <c r="H207" s="18">
        <v>383682.03</v>
      </c>
      <c r="I207" s="18">
        <v>381694.33</v>
      </c>
      <c r="J207" s="18">
        <v>31543.43</v>
      </c>
      <c r="K207" s="18"/>
      <c r="L207" s="19">
        <f t="shared" si="0"/>
        <v>1858332.65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819044.96</v>
      </c>
      <c r="G208" s="18">
        <v>299198.5</v>
      </c>
      <c r="H208" s="18">
        <v>121839.21</v>
      </c>
      <c r="I208" s="18">
        <v>84886.55</v>
      </c>
      <c r="J208" s="18">
        <v>112542.17</v>
      </c>
      <c r="K208" s="18"/>
      <c r="L208" s="19">
        <f t="shared" si="0"/>
        <v>1437511.39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11570108.619999997</v>
      </c>
      <c r="G211" s="41">
        <f t="shared" si="1"/>
        <v>5899595</v>
      </c>
      <c r="H211" s="41">
        <f t="shared" si="1"/>
        <v>1691534.2499999998</v>
      </c>
      <c r="I211" s="41">
        <f t="shared" si="1"/>
        <v>857818.6100000001</v>
      </c>
      <c r="J211" s="41">
        <f t="shared" si="1"/>
        <v>260199.33000000002</v>
      </c>
      <c r="K211" s="41">
        <f t="shared" si="1"/>
        <v>14686.93</v>
      </c>
      <c r="L211" s="41">
        <f t="shared" si="1"/>
        <v>20293942.740000002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2173617.89</v>
      </c>
      <c r="G215" s="18">
        <v>1330088.46</v>
      </c>
      <c r="H215" s="18">
        <v>17382.669999999998</v>
      </c>
      <c r="I215" s="18">
        <v>51695.46</v>
      </c>
      <c r="J215" s="18">
        <v>104019.86</v>
      </c>
      <c r="K215" s="18">
        <v>78.099999999999994</v>
      </c>
      <c r="L215" s="19">
        <f>SUM(F215:K215)</f>
        <v>3676882.44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871005.98</v>
      </c>
      <c r="G216" s="18">
        <v>430481.45</v>
      </c>
      <c r="H216" s="18">
        <v>55110.74</v>
      </c>
      <c r="I216" s="18">
        <v>4284.3599999999997</v>
      </c>
      <c r="J216" s="18">
        <v>5047.8900000000003</v>
      </c>
      <c r="K216" s="18">
        <v>174.52</v>
      </c>
      <c r="L216" s="19">
        <f>SUM(F216:K216)</f>
        <v>1366104.94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60830.84</v>
      </c>
      <c r="G218" s="18">
        <v>9570.4</v>
      </c>
      <c r="H218" s="18">
        <v>13504.48</v>
      </c>
      <c r="I218" s="18">
        <v>3604.94</v>
      </c>
      <c r="J218" s="18">
        <v>15508.95</v>
      </c>
      <c r="K218" s="18"/>
      <c r="L218" s="19">
        <f>SUM(F218:K218)</f>
        <v>103019.60999999999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156881.89000000001</v>
      </c>
      <c r="G220" s="18">
        <v>103398.65</v>
      </c>
      <c r="H220" s="18">
        <v>57473.32</v>
      </c>
      <c r="I220" s="18">
        <v>2321.87</v>
      </c>
      <c r="J220" s="18">
        <v>1095.56</v>
      </c>
      <c r="K220" s="18">
        <v>280</v>
      </c>
      <c r="L220" s="19">
        <f t="shared" ref="L220:L226" si="2">SUM(F220:K220)</f>
        <v>321451.28999999998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81531</v>
      </c>
      <c r="G221" s="18">
        <v>80383.929999999993</v>
      </c>
      <c r="H221" s="18">
        <v>10350.81</v>
      </c>
      <c r="I221" s="18">
        <v>38204</v>
      </c>
      <c r="J221" s="18">
        <v>6639.71</v>
      </c>
      <c r="K221" s="18">
        <v>600</v>
      </c>
      <c r="L221" s="19">
        <f t="shared" si="2"/>
        <v>217709.44999999998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71162.45</v>
      </c>
      <c r="G222" s="18">
        <v>39790.53</v>
      </c>
      <c r="H222" s="18">
        <v>16071.18</v>
      </c>
      <c r="I222" s="18">
        <v>4079.69</v>
      </c>
      <c r="J222" s="18">
        <v>315.99</v>
      </c>
      <c r="K222" s="18">
        <v>1590.46</v>
      </c>
      <c r="L222" s="19">
        <f t="shared" si="2"/>
        <v>133010.29999999999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284982.44</v>
      </c>
      <c r="G223" s="18">
        <v>162850.17000000001</v>
      </c>
      <c r="H223" s="18">
        <v>44425.09</v>
      </c>
      <c r="I223" s="18">
        <v>3444.2</v>
      </c>
      <c r="J223" s="18"/>
      <c r="K223" s="18">
        <v>1883.57</v>
      </c>
      <c r="L223" s="19">
        <f t="shared" si="2"/>
        <v>497585.47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48783.05</v>
      </c>
      <c r="G224" s="18">
        <v>23464.799999999999</v>
      </c>
      <c r="H224" s="18">
        <v>5162.6099999999997</v>
      </c>
      <c r="I224" s="18">
        <v>2394.5300000000002</v>
      </c>
      <c r="J224" s="18">
        <v>108.65</v>
      </c>
      <c r="K224" s="18">
        <v>2383.9899999999998</v>
      </c>
      <c r="L224" s="19">
        <f t="shared" si="2"/>
        <v>82297.63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158666.92000000001</v>
      </c>
      <c r="G225" s="18">
        <v>111210.72</v>
      </c>
      <c r="H225" s="18">
        <v>117641.35</v>
      </c>
      <c r="I225" s="18">
        <v>138515.71</v>
      </c>
      <c r="J225" s="18">
        <v>4479.32</v>
      </c>
      <c r="K225" s="18"/>
      <c r="L225" s="19">
        <f t="shared" si="2"/>
        <v>530514.0199999999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48209.81</v>
      </c>
      <c r="G226" s="18">
        <v>115774.64</v>
      </c>
      <c r="H226" s="18">
        <v>25534.03</v>
      </c>
      <c r="I226" s="18">
        <v>34673.620000000003</v>
      </c>
      <c r="J226" s="18">
        <v>37589.08</v>
      </c>
      <c r="K226" s="18"/>
      <c r="L226" s="19">
        <f t="shared" si="2"/>
        <v>261781.18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3955672.27</v>
      </c>
      <c r="G229" s="41">
        <f>SUM(G215:G228)</f>
        <v>2407013.75</v>
      </c>
      <c r="H229" s="41">
        <f>SUM(H215:H228)</f>
        <v>362656.28</v>
      </c>
      <c r="I229" s="41">
        <f>SUM(I215:I228)</f>
        <v>283218.38</v>
      </c>
      <c r="J229" s="41">
        <f>SUM(J215:J228)</f>
        <v>174805.01</v>
      </c>
      <c r="K229" s="41">
        <f t="shared" si="3"/>
        <v>6990.6399999999994</v>
      </c>
      <c r="L229" s="41">
        <f t="shared" si="3"/>
        <v>7190356.3299999991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3106568.14</v>
      </c>
      <c r="G233" s="18">
        <v>2176222.58</v>
      </c>
      <c r="H233" s="18">
        <v>230952.41</v>
      </c>
      <c r="I233" s="18">
        <v>121012.36</v>
      </c>
      <c r="J233" s="18">
        <v>101118.78</v>
      </c>
      <c r="K233" s="18"/>
      <c r="L233" s="19">
        <f>SUM(F233:K233)</f>
        <v>5735874.2700000014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760318.9</v>
      </c>
      <c r="G234" s="18">
        <v>663087.65</v>
      </c>
      <c r="H234" s="18">
        <v>387061.74</v>
      </c>
      <c r="I234" s="18">
        <v>5961.14</v>
      </c>
      <c r="J234" s="18">
        <v>586.86</v>
      </c>
      <c r="K234" s="18">
        <v>347.99</v>
      </c>
      <c r="L234" s="19">
        <f>SUM(F234:K234)</f>
        <v>1817364.28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746677.97</v>
      </c>
      <c r="G235" s="18">
        <v>399446.66</v>
      </c>
      <c r="H235" s="18">
        <v>17784.09</v>
      </c>
      <c r="I235" s="18">
        <v>40213.29</v>
      </c>
      <c r="J235" s="18">
        <v>28775.63</v>
      </c>
      <c r="K235" s="18">
        <v>725</v>
      </c>
      <c r="L235" s="19">
        <f>SUM(F235:K235)</f>
        <v>1233622.6399999999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306573.71000000002</v>
      </c>
      <c r="G236" s="18">
        <v>52733.4</v>
      </c>
      <c r="H236" s="18">
        <v>106278.78</v>
      </c>
      <c r="I236" s="18">
        <v>15790.99</v>
      </c>
      <c r="J236" s="18">
        <v>54648.91</v>
      </c>
      <c r="K236" s="18">
        <v>11719.47</v>
      </c>
      <c r="L236" s="19">
        <f>SUM(F236:K236)</f>
        <v>547745.26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415571.11</v>
      </c>
      <c r="G238" s="18">
        <v>217608.87</v>
      </c>
      <c r="H238" s="18">
        <v>60349.25</v>
      </c>
      <c r="I238" s="18">
        <v>6017.75</v>
      </c>
      <c r="J238" s="18">
        <v>1813.18</v>
      </c>
      <c r="K238" s="18">
        <v>25</v>
      </c>
      <c r="L238" s="19">
        <f t="shared" ref="L238:L244" si="4">SUM(F238:K238)</f>
        <v>701385.16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194728.67</v>
      </c>
      <c r="G239" s="18">
        <v>160257.93</v>
      </c>
      <c r="H239" s="18">
        <v>27300.63</v>
      </c>
      <c r="I239" s="18">
        <v>62580.27</v>
      </c>
      <c r="J239" s="18">
        <v>18744.48</v>
      </c>
      <c r="K239" s="18">
        <v>1778</v>
      </c>
      <c r="L239" s="19">
        <f t="shared" si="4"/>
        <v>465389.98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138136.42000000001</v>
      </c>
      <c r="G240" s="18">
        <v>75552.38</v>
      </c>
      <c r="H240" s="18">
        <v>32046.12</v>
      </c>
      <c r="I240" s="18">
        <v>8134.96</v>
      </c>
      <c r="J240" s="18">
        <v>630.09</v>
      </c>
      <c r="K240" s="18">
        <v>3171.4</v>
      </c>
      <c r="L240" s="19">
        <f t="shared" si="4"/>
        <v>257671.37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433322.25</v>
      </c>
      <c r="G241" s="18">
        <v>284984.52</v>
      </c>
      <c r="H241" s="18">
        <v>106783.39</v>
      </c>
      <c r="I241" s="18">
        <v>20381.89</v>
      </c>
      <c r="J241" s="18">
        <v>562</v>
      </c>
      <c r="K241" s="18">
        <v>3790.98</v>
      </c>
      <c r="L241" s="19">
        <f t="shared" si="4"/>
        <v>849825.03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94696.19</v>
      </c>
      <c r="G242" s="18">
        <v>45243.34</v>
      </c>
      <c r="H242" s="18">
        <v>10294.299999999999</v>
      </c>
      <c r="I242" s="18">
        <v>8106.54</v>
      </c>
      <c r="J242" s="18">
        <v>216.65</v>
      </c>
      <c r="K242" s="18">
        <v>4753.71</v>
      </c>
      <c r="L242" s="19">
        <f t="shared" si="4"/>
        <v>163310.72999999998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414918.23</v>
      </c>
      <c r="G243" s="18">
        <v>232664.09</v>
      </c>
      <c r="H243" s="18">
        <v>334147.75</v>
      </c>
      <c r="I243" s="18">
        <v>327265.95</v>
      </c>
      <c r="J243" s="18">
        <v>10658.41</v>
      </c>
      <c r="K243" s="18"/>
      <c r="L243" s="19">
        <f t="shared" si="4"/>
        <v>1319654.43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116335.81</v>
      </c>
      <c r="G244" s="18">
        <v>75466.61</v>
      </c>
      <c r="H244" s="18">
        <v>61103.42</v>
      </c>
      <c r="I244" s="18">
        <v>74654.89</v>
      </c>
      <c r="J244" s="18">
        <v>74953.09</v>
      </c>
      <c r="K244" s="18"/>
      <c r="L244" s="19">
        <f t="shared" si="4"/>
        <v>402513.81999999995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6727847.3999999994</v>
      </c>
      <c r="G247" s="41">
        <f t="shared" si="5"/>
        <v>4383268.03</v>
      </c>
      <c r="H247" s="41">
        <f t="shared" si="5"/>
        <v>1374101.88</v>
      </c>
      <c r="I247" s="41">
        <f t="shared" si="5"/>
        <v>690120.02999999991</v>
      </c>
      <c r="J247" s="41">
        <f t="shared" si="5"/>
        <v>292708.07999999996</v>
      </c>
      <c r="K247" s="41">
        <f t="shared" si="5"/>
        <v>26311.55</v>
      </c>
      <c r="L247" s="41">
        <f t="shared" si="5"/>
        <v>13494356.970000001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9358.68</v>
      </c>
      <c r="G251" s="18">
        <v>712.93</v>
      </c>
      <c r="H251" s="18"/>
      <c r="I251" s="18"/>
      <c r="J251" s="18"/>
      <c r="K251" s="18"/>
      <c r="L251" s="19">
        <f t="shared" si="6"/>
        <v>10071.61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>
        <v>6046.7</v>
      </c>
      <c r="J253" s="18"/>
      <c r="K253" s="18"/>
      <c r="L253" s="19">
        <f t="shared" si="6"/>
        <v>6046.7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>
        <v>179487.5</v>
      </c>
      <c r="K255" s="18"/>
      <c r="L255" s="19">
        <f t="shared" si="6"/>
        <v>179487.5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9358.68</v>
      </c>
      <c r="G256" s="41">
        <f t="shared" si="7"/>
        <v>712.93</v>
      </c>
      <c r="H256" s="41">
        <f t="shared" si="7"/>
        <v>0</v>
      </c>
      <c r="I256" s="41">
        <f t="shared" si="7"/>
        <v>6046.7</v>
      </c>
      <c r="J256" s="41">
        <f t="shared" si="7"/>
        <v>179487.5</v>
      </c>
      <c r="K256" s="41">
        <f t="shared" si="7"/>
        <v>0</v>
      </c>
      <c r="L256" s="41">
        <f>SUM(F256:K256)</f>
        <v>195605.81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22262986.969999995</v>
      </c>
      <c r="G257" s="41">
        <f t="shared" si="8"/>
        <v>12690589.710000001</v>
      </c>
      <c r="H257" s="41">
        <f t="shared" si="8"/>
        <v>3428292.4099999997</v>
      </c>
      <c r="I257" s="41">
        <f t="shared" si="8"/>
        <v>1837203.72</v>
      </c>
      <c r="J257" s="41">
        <f t="shared" si="8"/>
        <v>907199.91999999993</v>
      </c>
      <c r="K257" s="41">
        <f t="shared" si="8"/>
        <v>47989.119999999995</v>
      </c>
      <c r="L257" s="41">
        <f t="shared" si="8"/>
        <v>41174261.850000001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2793651.99</v>
      </c>
      <c r="L260" s="19">
        <f>SUM(F260:K260)</f>
        <v>2793651.99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807248.51</v>
      </c>
      <c r="L261" s="19">
        <f>SUM(F261:K261)</f>
        <v>807248.51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60000</v>
      </c>
      <c r="L266" s="19">
        <f t="shared" si="9"/>
        <v>60000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3660900.5</v>
      </c>
      <c r="L270" s="41">
        <f t="shared" si="9"/>
        <v>3660900.5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22262986.969999995</v>
      </c>
      <c r="G271" s="42">
        <f t="shared" si="11"/>
        <v>12690589.710000001</v>
      </c>
      <c r="H271" s="42">
        <f t="shared" si="11"/>
        <v>3428292.4099999997</v>
      </c>
      <c r="I271" s="42">
        <f t="shared" si="11"/>
        <v>1837203.72</v>
      </c>
      <c r="J271" s="42">
        <f t="shared" si="11"/>
        <v>907199.91999999993</v>
      </c>
      <c r="K271" s="42">
        <f t="shared" si="11"/>
        <v>3708889.62</v>
      </c>
      <c r="L271" s="42">
        <f t="shared" si="11"/>
        <v>44835162.350000001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309595.59000000003</v>
      </c>
      <c r="G276" s="18">
        <v>234081.34</v>
      </c>
      <c r="H276" s="18">
        <v>3350</v>
      </c>
      <c r="I276" s="18">
        <v>22090.42</v>
      </c>
      <c r="J276" s="18">
        <v>1172.2</v>
      </c>
      <c r="K276" s="18"/>
      <c r="L276" s="19">
        <f>SUM(F276:K276)</f>
        <v>570289.55000000005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114911.5</v>
      </c>
      <c r="G277" s="18">
        <v>82402.490000000005</v>
      </c>
      <c r="H277" s="18"/>
      <c r="I277" s="18">
        <v>1291.45</v>
      </c>
      <c r="J277" s="18">
        <v>3289.6</v>
      </c>
      <c r="K277" s="18"/>
      <c r="L277" s="19">
        <f>SUM(F277:K277)</f>
        <v>201895.04000000001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>
        <v>5158.75</v>
      </c>
      <c r="J278" s="18"/>
      <c r="K278" s="18"/>
      <c r="L278" s="19">
        <f>SUM(F278:K278)</f>
        <v>5158.75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16640</v>
      </c>
      <c r="G279" s="18">
        <v>3629.21</v>
      </c>
      <c r="H279" s="18"/>
      <c r="I279" s="18"/>
      <c r="J279" s="18"/>
      <c r="K279" s="18"/>
      <c r="L279" s="19">
        <f>SUM(F279:K279)</f>
        <v>20269.21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79291.12</v>
      </c>
      <c r="G282" s="18">
        <v>31126.51</v>
      </c>
      <c r="H282" s="18">
        <v>62881.91</v>
      </c>
      <c r="I282" s="18">
        <v>3739.05</v>
      </c>
      <c r="J282" s="18"/>
      <c r="K282" s="18"/>
      <c r="L282" s="19">
        <f t="shared" si="12"/>
        <v>177038.58999999997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13000</v>
      </c>
      <c r="I287" s="18"/>
      <c r="J287" s="18"/>
      <c r="K287" s="18"/>
      <c r="L287" s="19">
        <f t="shared" si="12"/>
        <v>13000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520438.21</v>
      </c>
      <c r="G290" s="42">
        <f t="shared" si="13"/>
        <v>351239.55000000005</v>
      </c>
      <c r="H290" s="42">
        <f t="shared" si="13"/>
        <v>79231.91</v>
      </c>
      <c r="I290" s="42">
        <f t="shared" si="13"/>
        <v>32279.67</v>
      </c>
      <c r="J290" s="42">
        <f t="shared" si="13"/>
        <v>4461.8</v>
      </c>
      <c r="K290" s="42">
        <f t="shared" si="13"/>
        <v>0</v>
      </c>
      <c r="L290" s="41">
        <f t="shared" si="13"/>
        <v>987651.14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>
        <v>1085.5</v>
      </c>
      <c r="I295" s="18">
        <v>1465.3</v>
      </c>
      <c r="J295" s="18"/>
      <c r="K295" s="18"/>
      <c r="L295" s="19">
        <f>SUM(F295:K295)</f>
        <v>2550.8000000000002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38380.44</v>
      </c>
      <c r="G296" s="18">
        <v>27522.43</v>
      </c>
      <c r="H296" s="18"/>
      <c r="I296" s="18">
        <v>431.34</v>
      </c>
      <c r="J296" s="18">
        <v>1098.73</v>
      </c>
      <c r="K296" s="18"/>
      <c r="L296" s="19">
        <f>SUM(F296:K296)</f>
        <v>67432.939999999988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13931.56</v>
      </c>
      <c r="G301" s="18">
        <v>4846.96</v>
      </c>
      <c r="H301" s="18">
        <v>20760.78</v>
      </c>
      <c r="I301" s="18">
        <v>788.67</v>
      </c>
      <c r="J301" s="18"/>
      <c r="K301" s="18"/>
      <c r="L301" s="19">
        <f t="shared" si="14"/>
        <v>40327.97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52312</v>
      </c>
      <c r="G309" s="42">
        <f t="shared" si="15"/>
        <v>32369.39</v>
      </c>
      <c r="H309" s="42">
        <f t="shared" si="15"/>
        <v>21846.28</v>
      </c>
      <c r="I309" s="42">
        <f t="shared" si="15"/>
        <v>2685.31</v>
      </c>
      <c r="J309" s="42">
        <f t="shared" si="15"/>
        <v>1098.73</v>
      </c>
      <c r="K309" s="42">
        <f t="shared" si="15"/>
        <v>0</v>
      </c>
      <c r="L309" s="41">
        <f t="shared" si="15"/>
        <v>110311.70999999999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>
        <v>2164.5</v>
      </c>
      <c r="I314" s="18">
        <v>2921.82</v>
      </c>
      <c r="J314" s="18"/>
      <c r="K314" s="18"/>
      <c r="L314" s="19">
        <f>SUM(F314:K314)</f>
        <v>5086.32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76531.06</v>
      </c>
      <c r="G315" s="18">
        <v>54880.06</v>
      </c>
      <c r="H315" s="18"/>
      <c r="I315" s="18">
        <v>860.11</v>
      </c>
      <c r="J315" s="18">
        <v>2190.87</v>
      </c>
      <c r="K315" s="18"/>
      <c r="L315" s="19">
        <f>SUM(F315:K315)</f>
        <v>134462.09999999998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38992.44</v>
      </c>
      <c r="G316" s="18">
        <v>10046.77</v>
      </c>
      <c r="H316" s="18">
        <v>6153.79</v>
      </c>
      <c r="I316" s="18">
        <v>5073.93</v>
      </c>
      <c r="J316" s="18">
        <v>69952.149999999994</v>
      </c>
      <c r="K316" s="18"/>
      <c r="L316" s="19">
        <f>SUM(F316:K316)</f>
        <v>130219.08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27779.7</v>
      </c>
      <c r="G320" s="18">
        <v>9664.9</v>
      </c>
      <c r="H320" s="18">
        <v>41397.24</v>
      </c>
      <c r="I320" s="18">
        <v>1572.62</v>
      </c>
      <c r="J320" s="18"/>
      <c r="K320" s="18">
        <v>4210.22</v>
      </c>
      <c r="L320" s="19">
        <f t="shared" si="16"/>
        <v>84624.68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143303.20000000001</v>
      </c>
      <c r="G328" s="42">
        <f t="shared" si="17"/>
        <v>74591.73</v>
      </c>
      <c r="H328" s="42">
        <f t="shared" si="17"/>
        <v>49715.53</v>
      </c>
      <c r="I328" s="42">
        <f t="shared" si="17"/>
        <v>10428.48</v>
      </c>
      <c r="J328" s="42">
        <f t="shared" si="17"/>
        <v>72143.01999999999</v>
      </c>
      <c r="K328" s="42">
        <f t="shared" si="17"/>
        <v>4210.22</v>
      </c>
      <c r="L328" s="41">
        <f t="shared" si="17"/>
        <v>354392.18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62665.5</v>
      </c>
      <c r="G333" s="18">
        <v>36384.410000000003</v>
      </c>
      <c r="H333" s="18">
        <v>20454.21</v>
      </c>
      <c r="I333" s="18">
        <v>7175.59</v>
      </c>
      <c r="J333" s="18"/>
      <c r="K333" s="18">
        <v>1755.26</v>
      </c>
      <c r="L333" s="19">
        <f t="shared" si="18"/>
        <v>128434.96999999999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44117.7</v>
      </c>
      <c r="G335" s="18">
        <v>41700.6</v>
      </c>
      <c r="H335" s="18">
        <v>6150</v>
      </c>
      <c r="I335" s="18"/>
      <c r="J335" s="18"/>
      <c r="K335" s="18"/>
      <c r="L335" s="19">
        <f t="shared" si="18"/>
        <v>91968.299999999988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106783.2</v>
      </c>
      <c r="G337" s="41">
        <f t="shared" si="19"/>
        <v>78085.010000000009</v>
      </c>
      <c r="H337" s="41">
        <f t="shared" si="19"/>
        <v>26604.21</v>
      </c>
      <c r="I337" s="41">
        <f t="shared" si="19"/>
        <v>7175.59</v>
      </c>
      <c r="J337" s="41">
        <f t="shared" si="19"/>
        <v>0</v>
      </c>
      <c r="K337" s="41">
        <f t="shared" si="19"/>
        <v>1755.26</v>
      </c>
      <c r="L337" s="41">
        <f t="shared" si="18"/>
        <v>220403.27000000002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822836.60999999987</v>
      </c>
      <c r="G338" s="41">
        <f t="shared" si="20"/>
        <v>536285.68000000005</v>
      </c>
      <c r="H338" s="41">
        <f t="shared" si="20"/>
        <v>177397.93</v>
      </c>
      <c r="I338" s="41">
        <f t="shared" si="20"/>
        <v>52569.049999999988</v>
      </c>
      <c r="J338" s="41">
        <f t="shared" si="20"/>
        <v>77703.549999999988</v>
      </c>
      <c r="K338" s="41">
        <f t="shared" si="20"/>
        <v>5965.4800000000005</v>
      </c>
      <c r="L338" s="41">
        <f t="shared" si="20"/>
        <v>1672758.3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822836.60999999987</v>
      </c>
      <c r="G352" s="41">
        <f>G338</f>
        <v>536285.68000000005</v>
      </c>
      <c r="H352" s="41">
        <f>H338</f>
        <v>177397.93</v>
      </c>
      <c r="I352" s="41">
        <f>I338</f>
        <v>52569.049999999988</v>
      </c>
      <c r="J352" s="41">
        <f>J338</f>
        <v>77703.549999999988</v>
      </c>
      <c r="K352" s="47">
        <f>K338+K351</f>
        <v>5965.4800000000005</v>
      </c>
      <c r="L352" s="41">
        <f>L338+L351</f>
        <v>1672758.3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204287.68</v>
      </c>
      <c r="G358" s="18">
        <v>21229.9</v>
      </c>
      <c r="H358" s="18">
        <v>5772.24</v>
      </c>
      <c r="I358" s="18">
        <v>228623.65</v>
      </c>
      <c r="J358" s="18">
        <v>3049.82</v>
      </c>
      <c r="K358" s="18"/>
      <c r="L358" s="13">
        <f>SUM(F358:K358)</f>
        <v>462963.29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36750.25</v>
      </c>
      <c r="G359" s="18">
        <v>5662.9</v>
      </c>
      <c r="H359" s="18">
        <v>1927.93</v>
      </c>
      <c r="I359" s="18">
        <v>76360.3</v>
      </c>
      <c r="J359" s="18">
        <v>1018.64</v>
      </c>
      <c r="K359" s="18"/>
      <c r="L359" s="19">
        <f>SUM(F359:K359)</f>
        <v>121720.02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246294.48</v>
      </c>
      <c r="G360" s="18">
        <v>36192.239999999998</v>
      </c>
      <c r="H360" s="18">
        <v>3844.31</v>
      </c>
      <c r="I360" s="18">
        <v>152263.35</v>
      </c>
      <c r="J360" s="18">
        <v>2031.18</v>
      </c>
      <c r="K360" s="18"/>
      <c r="L360" s="19">
        <f>SUM(F360:K360)</f>
        <v>440625.56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487332.41000000003</v>
      </c>
      <c r="G362" s="47">
        <f t="shared" si="22"/>
        <v>63085.04</v>
      </c>
      <c r="H362" s="47">
        <f t="shared" si="22"/>
        <v>11544.48</v>
      </c>
      <c r="I362" s="47">
        <f t="shared" si="22"/>
        <v>457247.30000000005</v>
      </c>
      <c r="J362" s="47">
        <f t="shared" si="22"/>
        <v>6099.64</v>
      </c>
      <c r="K362" s="47">
        <f t="shared" si="22"/>
        <v>0</v>
      </c>
      <c r="L362" s="47">
        <f t="shared" si="22"/>
        <v>1025308.8699999999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213669.2</v>
      </c>
      <c r="G367" s="18">
        <v>71365.509999999995</v>
      </c>
      <c r="H367" s="18">
        <v>142303.67999999999</v>
      </c>
      <c r="I367" s="56">
        <f>SUM(F367:H367)</f>
        <v>427338.39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14954.45</v>
      </c>
      <c r="G368" s="63">
        <v>4994.79</v>
      </c>
      <c r="H368" s="63">
        <v>9959.67</v>
      </c>
      <c r="I368" s="56">
        <f>SUM(F368:H368)</f>
        <v>29908.910000000003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228623.65000000002</v>
      </c>
      <c r="G369" s="47">
        <f>SUM(G367:G368)</f>
        <v>76360.299999999988</v>
      </c>
      <c r="H369" s="47">
        <f>SUM(H367:H368)</f>
        <v>152263.35</v>
      </c>
      <c r="I369" s="47">
        <f>SUM(I367:I368)</f>
        <v>457247.30000000005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>
        <v>1200</v>
      </c>
      <c r="G379" s="18">
        <v>91.8</v>
      </c>
      <c r="H379" s="18"/>
      <c r="I379" s="18"/>
      <c r="J379" s="18">
        <v>47956.88</v>
      </c>
      <c r="K379" s="18"/>
      <c r="L379" s="13">
        <f t="shared" si="23"/>
        <v>49248.68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1200</v>
      </c>
      <c r="G382" s="139">
        <f t="shared" ref="G382:L382" si="24">SUM(G374:G381)</f>
        <v>91.8</v>
      </c>
      <c r="H382" s="139">
        <f t="shared" si="24"/>
        <v>0</v>
      </c>
      <c r="I382" s="41">
        <f t="shared" si="24"/>
        <v>0</v>
      </c>
      <c r="J382" s="47">
        <f t="shared" si="24"/>
        <v>47956.88</v>
      </c>
      <c r="K382" s="47">
        <f t="shared" si="24"/>
        <v>0</v>
      </c>
      <c r="L382" s="47">
        <f t="shared" si="24"/>
        <v>49248.68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>
        <v>52.79</v>
      </c>
      <c r="I395" s="18"/>
      <c r="J395" s="24" t="s">
        <v>289</v>
      </c>
      <c r="K395" s="24" t="s">
        <v>289</v>
      </c>
      <c r="L395" s="56">
        <f t="shared" ref="L395:L400" si="26">SUM(F395:K395)</f>
        <v>52.79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3963.65</v>
      </c>
      <c r="I396" s="18"/>
      <c r="J396" s="24" t="s">
        <v>289</v>
      </c>
      <c r="K396" s="24" t="s">
        <v>289</v>
      </c>
      <c r="L396" s="56">
        <f t="shared" si="26"/>
        <v>3963.65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4208.53</v>
      </c>
      <c r="I397" s="18"/>
      <c r="J397" s="24" t="s">
        <v>289</v>
      </c>
      <c r="K397" s="24" t="s">
        <v>289</v>
      </c>
      <c r="L397" s="56">
        <f t="shared" si="26"/>
        <v>4208.53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60000</v>
      </c>
      <c r="H400" s="18">
        <v>37832.06</v>
      </c>
      <c r="I400" s="18">
        <v>3898.56</v>
      </c>
      <c r="J400" s="24" t="s">
        <v>289</v>
      </c>
      <c r="K400" s="24" t="s">
        <v>289</v>
      </c>
      <c r="L400" s="56">
        <f t="shared" si="26"/>
        <v>101730.62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60000</v>
      </c>
      <c r="H401" s="47">
        <f>SUM(H395:H400)</f>
        <v>46057.03</v>
      </c>
      <c r="I401" s="47">
        <f>SUM(I395:I400)</f>
        <v>3898.56</v>
      </c>
      <c r="J401" s="45" t="s">
        <v>289</v>
      </c>
      <c r="K401" s="45" t="s">
        <v>289</v>
      </c>
      <c r="L401" s="47">
        <f>SUM(L395:L400)</f>
        <v>109955.59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60000</v>
      </c>
      <c r="H408" s="47">
        <f>H393+H401+H407</f>
        <v>46057.03</v>
      </c>
      <c r="I408" s="47">
        <f>I393+I401+I407</f>
        <v>3898.56</v>
      </c>
      <c r="J408" s="24" t="s">
        <v>289</v>
      </c>
      <c r="K408" s="24" t="s">
        <v>289</v>
      </c>
      <c r="L408" s="47">
        <f>L393+L401+L407</f>
        <v>109955.59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101.64</v>
      </c>
      <c r="L422" s="56">
        <f t="shared" si="29"/>
        <v>101.64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>
        <v>107.92</v>
      </c>
      <c r="L423" s="56">
        <f t="shared" si="29"/>
        <v>107.92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21783.040000000001</v>
      </c>
      <c r="L426" s="56">
        <f t="shared" si="29"/>
        <v>21783.040000000001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21992.600000000002</v>
      </c>
      <c r="L427" s="47">
        <f t="shared" si="30"/>
        <v>21992.600000000002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21992.600000000002</v>
      </c>
      <c r="L434" s="47">
        <f t="shared" si="32"/>
        <v>21992.600000000002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44042.7</v>
      </c>
      <c r="H441" s="18"/>
      <c r="I441" s="56">
        <f t="shared" si="33"/>
        <v>44042.7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>
        <v>1355162.66</v>
      </c>
      <c r="H442" s="18"/>
      <c r="I442" s="56">
        <f t="shared" si="33"/>
        <v>1355162.66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1399205.3599999999</v>
      </c>
      <c r="H446" s="13">
        <f>SUM(H439:H445)</f>
        <v>0</v>
      </c>
      <c r="I446" s="13">
        <f>SUM(I439:I445)</f>
        <v>1399205.3599999999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1399205.36</v>
      </c>
      <c r="H459" s="18"/>
      <c r="I459" s="56">
        <f t="shared" si="34"/>
        <v>1399205.36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1399205.36</v>
      </c>
      <c r="H460" s="83">
        <f>SUM(H454:H459)</f>
        <v>0</v>
      </c>
      <c r="I460" s="83">
        <f>SUM(I454:I459)</f>
        <v>1399205.36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1399205.36</v>
      </c>
      <c r="H461" s="42">
        <f>H452+H460</f>
        <v>0</v>
      </c>
      <c r="I461" s="42">
        <f>I452+I460</f>
        <v>1399205.36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2903112.69</v>
      </c>
      <c r="G465" s="18">
        <v>32949.160000000003</v>
      </c>
      <c r="H465" s="18"/>
      <c r="I465" s="18">
        <v>114636.72</v>
      </c>
      <c r="J465" s="18">
        <v>1311242.3700000001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43696307.149999999</v>
      </c>
      <c r="G468" s="18">
        <v>1021242.76</v>
      </c>
      <c r="H468" s="18">
        <v>1672758.3</v>
      </c>
      <c r="I468" s="18"/>
      <c r="J468" s="18">
        <v>109955.59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43696307.149999999</v>
      </c>
      <c r="G470" s="53">
        <f>SUM(G468:G469)</f>
        <v>1021242.76</v>
      </c>
      <c r="H470" s="53">
        <f>SUM(H468:H469)</f>
        <v>1672758.3</v>
      </c>
      <c r="I470" s="53">
        <f>SUM(I468:I469)</f>
        <v>0</v>
      </c>
      <c r="J470" s="53">
        <f>SUM(J468:J469)</f>
        <v>109955.59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44835162.350000001</v>
      </c>
      <c r="G472" s="18">
        <v>1025308.87</v>
      </c>
      <c r="H472" s="18">
        <v>1672758.3</v>
      </c>
      <c r="I472" s="18">
        <v>49248.68</v>
      </c>
      <c r="J472" s="18">
        <v>21992.6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44835162.350000001</v>
      </c>
      <c r="G474" s="53">
        <f>SUM(G472:G473)</f>
        <v>1025308.87</v>
      </c>
      <c r="H474" s="53">
        <f>SUM(H472:H473)</f>
        <v>1672758.3</v>
      </c>
      <c r="I474" s="53">
        <f>SUM(I472:I473)</f>
        <v>49248.68</v>
      </c>
      <c r="J474" s="53">
        <f>SUM(J472:J473)</f>
        <v>21992.6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1764257.4899999946</v>
      </c>
      <c r="G476" s="53">
        <f>(G465+G470)- G474</f>
        <v>28883.04999999993</v>
      </c>
      <c r="H476" s="53">
        <f>(H465+H470)- H474</f>
        <v>0</v>
      </c>
      <c r="I476" s="53">
        <f>(I465+I470)- I474</f>
        <v>65388.04</v>
      </c>
      <c r="J476" s="53">
        <f>(J465+J470)- J474</f>
        <v>1399205.36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30</v>
      </c>
      <c r="G490" s="154">
        <v>30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913</v>
      </c>
      <c r="H491" s="155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 t="s">
        <v>915</v>
      </c>
      <c r="H492" s="155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25000000</v>
      </c>
      <c r="G493" s="18">
        <v>325508500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4.3</v>
      </c>
      <c r="G494" s="18">
        <v>4.46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18123880.48</v>
      </c>
      <c r="G495" s="18">
        <v>24272042.960000001</v>
      </c>
      <c r="H495" s="18"/>
      <c r="I495" s="18"/>
      <c r="J495" s="18"/>
      <c r="K495" s="53">
        <f>SUM(F495:J495)</f>
        <v>42395923.439999998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f>F495-F498</f>
        <v>1161713.9299999997</v>
      </c>
      <c r="G497" s="18">
        <f>G495-G498</f>
        <v>1631938.0600000024</v>
      </c>
      <c r="H497" s="18"/>
      <c r="I497" s="18"/>
      <c r="J497" s="18"/>
      <c r="K497" s="53">
        <f t="shared" si="35"/>
        <v>2793651.9900000021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16962166.550000001</v>
      </c>
      <c r="G498" s="204">
        <v>22640104.899999999</v>
      </c>
      <c r="H498" s="204"/>
      <c r="I498" s="204"/>
      <c r="J498" s="204"/>
      <c r="K498" s="205">
        <f t="shared" si="35"/>
        <v>39602271.450000003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18968842.989999998</v>
      </c>
      <c r="G499" s="18">
        <v>27864163.850000001</v>
      </c>
      <c r="H499" s="18"/>
      <c r="I499" s="18"/>
      <c r="J499" s="18"/>
      <c r="K499" s="53">
        <f t="shared" si="35"/>
        <v>46833006.840000004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35931009.539999999</v>
      </c>
      <c r="G500" s="42">
        <f>SUM(G498:G499)</f>
        <v>50504268.75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86435278.289999992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1115835.6000000001</v>
      </c>
      <c r="G501" s="204">
        <v>1555259.36</v>
      </c>
      <c r="H501" s="204"/>
      <c r="I501" s="204"/>
      <c r="J501" s="204"/>
      <c r="K501" s="205">
        <f t="shared" si="35"/>
        <v>2671094.96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384100.4</v>
      </c>
      <c r="G502" s="18">
        <v>547703.14</v>
      </c>
      <c r="H502" s="18"/>
      <c r="I502" s="18"/>
      <c r="J502" s="18"/>
      <c r="K502" s="53">
        <f t="shared" si="35"/>
        <v>931803.54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1499936</v>
      </c>
      <c r="G503" s="42">
        <f>SUM(G501:G502)</f>
        <v>2102962.5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3602898.5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902552.5</v>
      </c>
      <c r="G507" s="144">
        <v>89229.61</v>
      </c>
      <c r="H507" s="144">
        <v>89112.92</v>
      </c>
      <c r="I507" s="144">
        <f>F507+G507-H507</f>
        <v>902669.19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>
        <v>867743</v>
      </c>
      <c r="G511" s="24" t="s">
        <v>289</v>
      </c>
      <c r="H511" s="18">
        <v>867743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v>68877884</v>
      </c>
      <c r="G513" s="24" t="s">
        <v>289</v>
      </c>
      <c r="H513" s="18">
        <v>68693606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>
        <v>994415</v>
      </c>
      <c r="G514" s="24" t="s">
        <v>289</v>
      </c>
      <c r="H514" s="18">
        <v>934380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70740042</v>
      </c>
      <c r="G517" s="42">
        <f>SUM(G511:G516)</f>
        <v>0</v>
      </c>
      <c r="H517" s="42">
        <f>SUM(H511:H516)</f>
        <v>70495729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1397603.22</v>
      </c>
      <c r="G521" s="18">
        <v>806837.32</v>
      </c>
      <c r="H521" s="18">
        <v>382434.88</v>
      </c>
      <c r="I521" s="18">
        <v>13196.01</v>
      </c>
      <c r="J521" s="18">
        <v>5075.3100000000004</v>
      </c>
      <c r="K521" s="18">
        <v>334.4</v>
      </c>
      <c r="L521" s="88">
        <f>SUM(F521:K521)</f>
        <v>2605481.1399999997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475185.1</v>
      </c>
      <c r="G522" s="18">
        <v>274324.69</v>
      </c>
      <c r="H522" s="18">
        <v>130027.86</v>
      </c>
      <c r="I522" s="18">
        <v>4486.6400000000003</v>
      </c>
      <c r="J522" s="18">
        <v>1725.6</v>
      </c>
      <c r="K522" s="18">
        <v>113.7</v>
      </c>
      <c r="L522" s="88">
        <f>SUM(F522:K522)</f>
        <v>885863.59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922418.13</v>
      </c>
      <c r="G523" s="18">
        <v>532512.63</v>
      </c>
      <c r="H523" s="18">
        <v>252407.02</v>
      </c>
      <c r="I523" s="18">
        <v>8709.3700000000008</v>
      </c>
      <c r="J523" s="18">
        <v>3349.7</v>
      </c>
      <c r="K523" s="18">
        <v>220.7</v>
      </c>
      <c r="L523" s="88">
        <f>SUM(F523:K523)</f>
        <v>1719617.55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2795206.4499999997</v>
      </c>
      <c r="G524" s="108">
        <f t="shared" ref="G524:L524" si="36">SUM(G521:G523)</f>
        <v>1613674.6400000001</v>
      </c>
      <c r="H524" s="108">
        <f t="shared" si="36"/>
        <v>764869.76</v>
      </c>
      <c r="I524" s="108">
        <f t="shared" si="36"/>
        <v>26392.020000000004</v>
      </c>
      <c r="J524" s="108">
        <f t="shared" si="36"/>
        <v>10150.61</v>
      </c>
      <c r="K524" s="108">
        <f t="shared" si="36"/>
        <v>668.8</v>
      </c>
      <c r="L524" s="89">
        <f t="shared" si="36"/>
        <v>5210962.2799999993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655126.51</v>
      </c>
      <c r="G526" s="18">
        <v>378205</v>
      </c>
      <c r="H526" s="18">
        <v>179266.35</v>
      </c>
      <c r="I526" s="18">
        <v>6185.63</v>
      </c>
      <c r="J526" s="18">
        <v>2379.0500000000002</v>
      </c>
      <c r="K526" s="18">
        <v>156.75</v>
      </c>
      <c r="L526" s="88">
        <f>SUM(F526:K526)</f>
        <v>1221319.29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222743.01</v>
      </c>
      <c r="G527" s="18">
        <v>128589.7</v>
      </c>
      <c r="H527" s="18">
        <v>60950.559999999998</v>
      </c>
      <c r="I527" s="18">
        <v>2103.11</v>
      </c>
      <c r="J527" s="18">
        <v>808.88</v>
      </c>
      <c r="K527" s="18">
        <v>53.3</v>
      </c>
      <c r="L527" s="88">
        <f>SUM(F527:K527)</f>
        <v>415248.56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432383.5</v>
      </c>
      <c r="G528" s="18">
        <v>249615.3</v>
      </c>
      <c r="H528" s="18">
        <v>118315.79</v>
      </c>
      <c r="I528" s="18">
        <v>4082.52</v>
      </c>
      <c r="J528" s="18">
        <v>1570.17</v>
      </c>
      <c r="K528" s="18">
        <v>103.46</v>
      </c>
      <c r="L528" s="88">
        <f>SUM(F528:K528)</f>
        <v>806070.74000000011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1310253.02</v>
      </c>
      <c r="G529" s="89">
        <f t="shared" ref="G529:L529" si="37">SUM(G526:G528)</f>
        <v>756410</v>
      </c>
      <c r="H529" s="89">
        <f t="shared" si="37"/>
        <v>358532.7</v>
      </c>
      <c r="I529" s="89">
        <f t="shared" si="37"/>
        <v>12371.26</v>
      </c>
      <c r="J529" s="89">
        <f t="shared" si="37"/>
        <v>4758.1000000000004</v>
      </c>
      <c r="K529" s="89">
        <f t="shared" si="37"/>
        <v>313.51</v>
      </c>
      <c r="L529" s="89">
        <f t="shared" si="37"/>
        <v>2442638.5900000003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131025.3</v>
      </c>
      <c r="G531" s="18">
        <v>75641</v>
      </c>
      <c r="H531" s="18">
        <v>35853.269999999997</v>
      </c>
      <c r="I531" s="18">
        <v>1237.1300000000001</v>
      </c>
      <c r="J531" s="18">
        <v>475.81</v>
      </c>
      <c r="K531" s="18">
        <v>31.35</v>
      </c>
      <c r="L531" s="88">
        <f>SUM(F531:K531)</f>
        <v>244263.86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44548.6</v>
      </c>
      <c r="G532" s="18">
        <v>25717.94</v>
      </c>
      <c r="H532" s="18">
        <v>12190.11</v>
      </c>
      <c r="I532" s="18">
        <v>420.62</v>
      </c>
      <c r="J532" s="18">
        <v>161.78</v>
      </c>
      <c r="K532" s="18">
        <v>10.66</v>
      </c>
      <c r="L532" s="88">
        <f>SUM(F532:K532)</f>
        <v>83049.709999999992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86476.7</v>
      </c>
      <c r="G533" s="18">
        <v>49923.06</v>
      </c>
      <c r="H533" s="18">
        <v>23663.16</v>
      </c>
      <c r="I533" s="18">
        <v>816.5</v>
      </c>
      <c r="J533" s="18">
        <v>314.02999999999997</v>
      </c>
      <c r="K533" s="18">
        <v>20.69</v>
      </c>
      <c r="L533" s="88">
        <f>SUM(F533:K533)</f>
        <v>161214.14000000001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262050.59999999998</v>
      </c>
      <c r="G534" s="89">
        <f t="shared" ref="G534:L534" si="38">SUM(G531:G533)</f>
        <v>151282</v>
      </c>
      <c r="H534" s="89">
        <f t="shared" si="38"/>
        <v>71706.539999999994</v>
      </c>
      <c r="I534" s="89">
        <f t="shared" si="38"/>
        <v>2474.25</v>
      </c>
      <c r="J534" s="89">
        <f t="shared" si="38"/>
        <v>951.62</v>
      </c>
      <c r="K534" s="89">
        <f t="shared" si="38"/>
        <v>62.7</v>
      </c>
      <c r="L534" s="89">
        <f t="shared" si="38"/>
        <v>488527.70999999996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4950.2700000000004</v>
      </c>
      <c r="I536" s="18"/>
      <c r="J536" s="18"/>
      <c r="K536" s="18"/>
      <c r="L536" s="88">
        <f>SUM(F536:K536)</f>
        <v>4950.2700000000004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1683.09</v>
      </c>
      <c r="I537" s="18"/>
      <c r="J537" s="18"/>
      <c r="K537" s="18"/>
      <c r="L537" s="88">
        <f>SUM(F537:K537)</f>
        <v>1683.09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3267.18</v>
      </c>
      <c r="I538" s="18"/>
      <c r="J538" s="18"/>
      <c r="K538" s="18"/>
      <c r="L538" s="88">
        <f>SUM(F538:K538)</f>
        <v>3267.18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9900.5400000000009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9900.5400000000009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130094.72</v>
      </c>
      <c r="G541" s="18">
        <v>23017.96</v>
      </c>
      <c r="H541" s="18">
        <v>27789.13</v>
      </c>
      <c r="I541" s="18">
        <v>372.2</v>
      </c>
      <c r="J541" s="18"/>
      <c r="K541" s="18"/>
      <c r="L541" s="88">
        <f>SUM(F541:K541)</f>
        <v>181274.01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44232.2</v>
      </c>
      <c r="G542" s="18">
        <v>7826.11</v>
      </c>
      <c r="H542" s="18">
        <v>9448.2999999999993</v>
      </c>
      <c r="I542" s="18">
        <v>126.55</v>
      </c>
      <c r="J542" s="18"/>
      <c r="K542" s="18"/>
      <c r="L542" s="88">
        <f>SUM(F542:K542)</f>
        <v>61633.16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85862.51</v>
      </c>
      <c r="G543" s="18">
        <v>15191.85</v>
      </c>
      <c r="H543" s="18">
        <v>18340.82</v>
      </c>
      <c r="I543" s="18">
        <v>245.65</v>
      </c>
      <c r="J543" s="18"/>
      <c r="K543" s="18"/>
      <c r="L543" s="88">
        <f>SUM(F543:K543)</f>
        <v>119640.82999999999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260189.43</v>
      </c>
      <c r="G544" s="193">
        <f t="shared" ref="G544:L544" si="40">SUM(G541:G543)</f>
        <v>46035.92</v>
      </c>
      <c r="H544" s="193">
        <f t="shared" si="40"/>
        <v>55578.25</v>
      </c>
      <c r="I544" s="193">
        <f t="shared" si="40"/>
        <v>744.4</v>
      </c>
      <c r="J544" s="193">
        <f t="shared" si="40"/>
        <v>0</v>
      </c>
      <c r="K544" s="193">
        <f t="shared" si="40"/>
        <v>0</v>
      </c>
      <c r="L544" s="193">
        <f t="shared" si="40"/>
        <v>362548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4627699.4999999991</v>
      </c>
      <c r="G545" s="89">
        <f t="shared" ref="G545:L545" si="41">G524+G529+G534+G539+G544</f>
        <v>2567402.56</v>
      </c>
      <c r="H545" s="89">
        <f t="shared" si="41"/>
        <v>1260587.79</v>
      </c>
      <c r="I545" s="89">
        <f t="shared" si="41"/>
        <v>41981.930000000008</v>
      </c>
      <c r="J545" s="89">
        <f t="shared" si="41"/>
        <v>15860.330000000002</v>
      </c>
      <c r="K545" s="89">
        <f t="shared" si="41"/>
        <v>1045.01</v>
      </c>
      <c r="L545" s="89">
        <f t="shared" si="41"/>
        <v>8514577.1199999992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2605481.1399999997</v>
      </c>
      <c r="G549" s="87">
        <f>L526</f>
        <v>1221319.29</v>
      </c>
      <c r="H549" s="87">
        <f>L531</f>
        <v>244263.86</v>
      </c>
      <c r="I549" s="87">
        <f>L536</f>
        <v>4950.2700000000004</v>
      </c>
      <c r="J549" s="87">
        <f>L541</f>
        <v>181274.01</v>
      </c>
      <c r="K549" s="87">
        <f>SUM(F549:J549)</f>
        <v>4257288.5699999994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885863.59</v>
      </c>
      <c r="G550" s="87">
        <f>L527</f>
        <v>415248.56</v>
      </c>
      <c r="H550" s="87">
        <f>L532</f>
        <v>83049.709999999992</v>
      </c>
      <c r="I550" s="87">
        <f>L537</f>
        <v>1683.09</v>
      </c>
      <c r="J550" s="87">
        <f>L542</f>
        <v>61633.16</v>
      </c>
      <c r="K550" s="87">
        <f>SUM(F550:J550)</f>
        <v>1447478.1099999999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1719617.55</v>
      </c>
      <c r="G551" s="87">
        <f>L528</f>
        <v>806070.74000000011</v>
      </c>
      <c r="H551" s="87">
        <f>L533</f>
        <v>161214.14000000001</v>
      </c>
      <c r="I551" s="87">
        <f>L538</f>
        <v>3267.18</v>
      </c>
      <c r="J551" s="87">
        <f>L543</f>
        <v>119640.82999999999</v>
      </c>
      <c r="K551" s="87">
        <f>SUM(F551:J551)</f>
        <v>2809810.4400000004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5210962.2799999993</v>
      </c>
      <c r="G552" s="89">
        <f t="shared" si="42"/>
        <v>2442638.5900000003</v>
      </c>
      <c r="H552" s="89">
        <f t="shared" si="42"/>
        <v>488527.70999999996</v>
      </c>
      <c r="I552" s="89">
        <f t="shared" si="42"/>
        <v>9900.5400000000009</v>
      </c>
      <c r="J552" s="89">
        <f t="shared" si="42"/>
        <v>362548</v>
      </c>
      <c r="K552" s="89">
        <f t="shared" si="42"/>
        <v>8514577.120000001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52032.5</v>
      </c>
      <c r="G562" s="18">
        <v>12019.31</v>
      </c>
      <c r="H562" s="18">
        <v>2246.15</v>
      </c>
      <c r="I562" s="18">
        <v>96.99</v>
      </c>
      <c r="J562" s="18"/>
      <c r="K562" s="18"/>
      <c r="L562" s="88">
        <f>SUM(F562:K562)</f>
        <v>66394.95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52032.5</v>
      </c>
      <c r="G565" s="89">
        <f t="shared" si="44"/>
        <v>12019.31</v>
      </c>
      <c r="H565" s="89">
        <f t="shared" si="44"/>
        <v>2246.15</v>
      </c>
      <c r="I565" s="89">
        <f t="shared" si="44"/>
        <v>96.99</v>
      </c>
      <c r="J565" s="89">
        <f t="shared" si="44"/>
        <v>0</v>
      </c>
      <c r="K565" s="89">
        <f t="shared" si="44"/>
        <v>0</v>
      </c>
      <c r="L565" s="89">
        <f t="shared" si="44"/>
        <v>66394.95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52032.5</v>
      </c>
      <c r="G571" s="89">
        <f t="shared" ref="G571:L571" si="46">G560+G565+G570</f>
        <v>12019.31</v>
      </c>
      <c r="H571" s="89">
        <f t="shared" si="46"/>
        <v>2246.15</v>
      </c>
      <c r="I571" s="89">
        <f t="shared" si="46"/>
        <v>96.99</v>
      </c>
      <c r="J571" s="89">
        <f t="shared" si="46"/>
        <v>0</v>
      </c>
      <c r="K571" s="89">
        <f t="shared" si="46"/>
        <v>0</v>
      </c>
      <c r="L571" s="89">
        <f t="shared" si="46"/>
        <v>66394.95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230619.1</v>
      </c>
      <c r="G579" s="18"/>
      <c r="H579" s="18">
        <v>9795.43</v>
      </c>
      <c r="I579" s="87">
        <f t="shared" si="47"/>
        <v>240414.53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395312.46</v>
      </c>
      <c r="G582" s="18">
        <v>36401</v>
      </c>
      <c r="H582" s="18">
        <v>352250.02</v>
      </c>
      <c r="I582" s="87">
        <f t="shared" si="47"/>
        <v>783963.48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1235268.68</v>
      </c>
      <c r="I591" s="18">
        <v>176463.96</v>
      </c>
      <c r="J591" s="18">
        <v>209495.75</v>
      </c>
      <c r="K591" s="104">
        <f t="shared" ref="K591:K597" si="48">SUM(H591:J591)</f>
        <v>1621228.39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181274.01</v>
      </c>
      <c r="I592" s="18">
        <v>61633.16</v>
      </c>
      <c r="J592" s="18">
        <v>119640.83</v>
      </c>
      <c r="K592" s="104">
        <f t="shared" si="48"/>
        <v>362548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5323.51</v>
      </c>
      <c r="K593" s="104">
        <f t="shared" si="48"/>
        <v>5323.51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12840.98</v>
      </c>
      <c r="J594" s="18">
        <v>54555.78</v>
      </c>
      <c r="K594" s="104">
        <f t="shared" si="48"/>
        <v>67396.759999999995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20968.7</v>
      </c>
      <c r="I595" s="18">
        <v>10843.08</v>
      </c>
      <c r="J595" s="18">
        <v>13497.95</v>
      </c>
      <c r="K595" s="104">
        <f t="shared" si="48"/>
        <v>45309.729999999996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1437511.39</v>
      </c>
      <c r="I598" s="108">
        <f>SUM(I591:I597)</f>
        <v>261781.18</v>
      </c>
      <c r="J598" s="108">
        <f>SUM(J591:J597)</f>
        <v>402513.82</v>
      </c>
      <c r="K598" s="108">
        <f>SUM(K591:K597)</f>
        <v>2101806.39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1395.62</v>
      </c>
      <c r="I603" s="18"/>
      <c r="J603" s="18"/>
      <c r="K603" s="104">
        <f>SUM(H603:J603)</f>
        <v>1395.62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263265.51</v>
      </c>
      <c r="I604" s="18">
        <v>175903.74</v>
      </c>
      <c r="J604" s="18">
        <v>364851.1</v>
      </c>
      <c r="K604" s="104">
        <f>SUM(H604:J604)</f>
        <v>804020.35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264661.13</v>
      </c>
      <c r="I605" s="108">
        <f>SUM(I602:I604)</f>
        <v>175903.74</v>
      </c>
      <c r="J605" s="108">
        <f>SUM(J602:J604)</f>
        <v>364851.1</v>
      </c>
      <c r="K605" s="108">
        <f>SUM(K602:K604)</f>
        <v>805415.97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30662.36</v>
      </c>
      <c r="G611" s="18">
        <v>5102.68</v>
      </c>
      <c r="H611" s="18">
        <v>1000</v>
      </c>
      <c r="I611" s="18">
        <v>5158.75</v>
      </c>
      <c r="J611" s="18"/>
      <c r="K611" s="18"/>
      <c r="L611" s="88">
        <f>SUM(F611:K611)</f>
        <v>41923.79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32639.89</v>
      </c>
      <c r="G613" s="18">
        <v>7068.23</v>
      </c>
      <c r="H613" s="18"/>
      <c r="I613" s="18">
        <v>425</v>
      </c>
      <c r="J613" s="18"/>
      <c r="K613" s="18"/>
      <c r="L613" s="88">
        <f>SUM(F613:K613)</f>
        <v>40133.119999999995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63302.25</v>
      </c>
      <c r="G614" s="108">
        <f t="shared" si="49"/>
        <v>12170.91</v>
      </c>
      <c r="H614" s="108">
        <f t="shared" si="49"/>
        <v>1000</v>
      </c>
      <c r="I614" s="108">
        <f t="shared" si="49"/>
        <v>5583.75</v>
      </c>
      <c r="J614" s="108">
        <f t="shared" si="49"/>
        <v>0</v>
      </c>
      <c r="K614" s="108">
        <f t="shared" si="49"/>
        <v>0</v>
      </c>
      <c r="L614" s="89">
        <f t="shared" si="49"/>
        <v>82056.91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2187358.67</v>
      </c>
      <c r="H617" s="109">
        <f>SUM(F52)</f>
        <v>2187358.67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62290.130000000005</v>
      </c>
      <c r="H618" s="109">
        <f>SUM(G52)</f>
        <v>62290.130000000005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574001.42000000004</v>
      </c>
      <c r="H619" s="109">
        <f>SUM(H52)</f>
        <v>574001.41999999993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65388.04</v>
      </c>
      <c r="H620" s="109">
        <f>SUM(I52)</f>
        <v>65388.04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1399205.3599999999</v>
      </c>
      <c r="H621" s="109">
        <f>SUM(J52)</f>
        <v>1399205.36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1764257.49</v>
      </c>
      <c r="H622" s="109">
        <f>F476</f>
        <v>1764257.4899999946</v>
      </c>
      <c r="I622" s="121" t="s">
        <v>101</v>
      </c>
      <c r="J622" s="109">
        <f t="shared" ref="J622:J655" si="50">G622-H622</f>
        <v>5.3551048040390015E-9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28883.05</v>
      </c>
      <c r="H623" s="109">
        <f>G476</f>
        <v>28883.04999999993</v>
      </c>
      <c r="I623" s="121" t="s">
        <v>102</v>
      </c>
      <c r="J623" s="109">
        <f t="shared" si="50"/>
        <v>6.9121597334742546E-11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65388.04</v>
      </c>
      <c r="H625" s="109">
        <f>I476</f>
        <v>65388.04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1399205.36</v>
      </c>
      <c r="H626" s="109">
        <f>J476</f>
        <v>1399205.36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43696307.150000006</v>
      </c>
      <c r="H627" s="104">
        <f>SUM(F468)</f>
        <v>43696307.149999999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1021242.76</v>
      </c>
      <c r="H628" s="104">
        <f>SUM(G468)</f>
        <v>1021242.76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1672758.3</v>
      </c>
      <c r="H629" s="104">
        <f>SUM(H468)</f>
        <v>1672758.3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109955.59</v>
      </c>
      <c r="H631" s="104">
        <f>SUM(J468)</f>
        <v>109955.59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44835162.350000001</v>
      </c>
      <c r="H632" s="104">
        <f>SUM(F472)</f>
        <v>44835162.350000001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1672758.3</v>
      </c>
      <c r="H633" s="104">
        <f>SUM(H472)</f>
        <v>1672758.3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457247.30000000005</v>
      </c>
      <c r="H634" s="104">
        <f>I369</f>
        <v>457247.30000000005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1025308.8699999999</v>
      </c>
      <c r="H635" s="104">
        <f>SUM(G472)</f>
        <v>1025308.87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49248.68</v>
      </c>
      <c r="H636" s="104">
        <f>SUM(I472)</f>
        <v>49248.68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109955.59</v>
      </c>
      <c r="H637" s="164">
        <f>SUM(J468)</f>
        <v>109955.59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21992.600000000002</v>
      </c>
      <c r="H638" s="164">
        <f>SUM(J472)</f>
        <v>21992.6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1399205.3599999999</v>
      </c>
      <c r="H640" s="104">
        <f>SUM(G461)</f>
        <v>1399205.36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1399205.3599999999</v>
      </c>
      <c r="H642" s="104">
        <f>SUM(I461)</f>
        <v>1399205.36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46057.03</v>
      </c>
      <c r="H644" s="104">
        <f>H408</f>
        <v>46057.03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60000</v>
      </c>
      <c r="H645" s="104">
        <f>G408</f>
        <v>60000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109955.59</v>
      </c>
      <c r="H646" s="104">
        <f>L408</f>
        <v>109955.59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2101806.39</v>
      </c>
      <c r="H647" s="104">
        <f>L208+L226+L244</f>
        <v>2101806.3899999997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805415.97</v>
      </c>
      <c r="H648" s="104">
        <f>(J257+J338)-(J255+J336)</f>
        <v>805415.97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1437511.39</v>
      </c>
      <c r="H649" s="104">
        <f>H598</f>
        <v>1437511.39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261781.18</v>
      </c>
      <c r="H650" s="104">
        <f>I598</f>
        <v>261781.18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402513.81999999995</v>
      </c>
      <c r="H651" s="104">
        <f>J598</f>
        <v>402513.82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60000</v>
      </c>
      <c r="H655" s="104">
        <f>K266+K347</f>
        <v>60000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21744557.170000002</v>
      </c>
      <c r="G660" s="19">
        <f>(L229+L309+L359)</f>
        <v>7422388.0599999987</v>
      </c>
      <c r="H660" s="19">
        <f>(L247+L328+L360)</f>
        <v>14289374.710000001</v>
      </c>
      <c r="I660" s="19">
        <f>SUM(F660:H660)</f>
        <v>43456319.939999998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221461.84559890689</v>
      </c>
      <c r="G661" s="19">
        <f>(L359/IF(SUM(L358:L360)=0,1,SUM(L358:L360))*(SUM(G97:G110)))</f>
        <v>58225.653864555577</v>
      </c>
      <c r="H661" s="19">
        <f>(L360/IF(SUM(L358:L360)=0,1,SUM(L358:L360))*(SUM(G97:G110)))</f>
        <v>210776.43053653758</v>
      </c>
      <c r="I661" s="19">
        <f>SUM(F661:H661)</f>
        <v>490463.93000000005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1337969.22</v>
      </c>
      <c r="G662" s="19">
        <f>(L226+L306)-(J226+J306)</f>
        <v>224192.09999999998</v>
      </c>
      <c r="H662" s="19">
        <f>(L244+L325)-(J244+J325)</f>
        <v>327560.73</v>
      </c>
      <c r="I662" s="19">
        <f>SUM(F662:H662)</f>
        <v>1889722.0499999998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932516.4800000001</v>
      </c>
      <c r="G663" s="199">
        <f>SUM(G575:G587)+SUM(I602:I604)+L612</f>
        <v>212304.74</v>
      </c>
      <c r="H663" s="199">
        <f>SUM(H575:H587)+SUM(J602:J604)+L613</f>
        <v>767029.67</v>
      </c>
      <c r="I663" s="19">
        <f>SUM(F663:H663)</f>
        <v>1911850.8900000001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19252609.624401096</v>
      </c>
      <c r="G664" s="19">
        <f>G660-SUM(G661:G663)</f>
        <v>6927665.5661354428</v>
      </c>
      <c r="H664" s="19">
        <f>H660-SUM(H661:H663)</f>
        <v>12984007.879463464</v>
      </c>
      <c r="I664" s="19">
        <f>I660-SUM(I661:I663)</f>
        <v>39164283.07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1122.3599999999999</v>
      </c>
      <c r="G665" s="248">
        <v>384.64</v>
      </c>
      <c r="H665" s="248">
        <v>795.04</v>
      </c>
      <c r="I665" s="19">
        <f>SUM(F665:H665)</f>
        <v>2302.04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17153.68</v>
      </c>
      <c r="G667" s="19">
        <f>ROUND(G664/G665,2)</f>
        <v>18010.78</v>
      </c>
      <c r="H667" s="19">
        <f>ROUND(H664/H665,2)</f>
        <v>16331.26</v>
      </c>
      <c r="I667" s="19">
        <f>ROUND(I664/I665,2)</f>
        <v>17012.86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23.28</v>
      </c>
      <c r="I670" s="19">
        <f>SUM(F670:H670)</f>
        <v>23.28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17153.68</v>
      </c>
      <c r="G672" s="19">
        <f>ROUND((G664+G669)/(G665+G670),2)</f>
        <v>18010.78</v>
      </c>
      <c r="H672" s="19">
        <f>ROUND((H664+H669)/(H665+H670),2)</f>
        <v>15866.66</v>
      </c>
      <c r="I672" s="19">
        <f>ROUND((I664+I669)/(I665+I670),2)</f>
        <v>16842.53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Governor WentworthRegional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11139639.060000001</v>
      </c>
      <c r="C9" s="229">
        <f>'DOE25'!G197+'DOE25'!G215+'DOE25'!G233+'DOE25'!G276+'DOE25'!G295+'DOE25'!G314</f>
        <v>6528825.2199999997</v>
      </c>
    </row>
    <row r="10" spans="1:3" x14ac:dyDescent="0.2">
      <c r="A10" t="s">
        <v>779</v>
      </c>
      <c r="B10" s="240">
        <v>10020105.33</v>
      </c>
      <c r="C10" s="240">
        <v>5872678.29</v>
      </c>
    </row>
    <row r="11" spans="1:3" x14ac:dyDescent="0.2">
      <c r="A11" t="s">
        <v>780</v>
      </c>
      <c r="B11" s="240">
        <v>599312.57999999996</v>
      </c>
      <c r="C11" s="240">
        <v>351250.8</v>
      </c>
    </row>
    <row r="12" spans="1:3" x14ac:dyDescent="0.2">
      <c r="A12" t="s">
        <v>781</v>
      </c>
      <c r="B12" s="240">
        <v>520221.15</v>
      </c>
      <c r="C12" s="240">
        <v>304896.13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11139639.060000001</v>
      </c>
      <c r="C13" s="231">
        <f>SUM(C10:C12)</f>
        <v>6528825.2199999997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4367510.0600000005</v>
      </c>
      <c r="C18" s="229">
        <f>'DOE25'!G198+'DOE25'!G216+'DOE25'!G234+'DOE25'!G277+'DOE25'!G296+'DOE25'!G315</f>
        <v>2521366.6400000006</v>
      </c>
    </row>
    <row r="19" spans="1:3" x14ac:dyDescent="0.2">
      <c r="A19" t="s">
        <v>779</v>
      </c>
      <c r="B19" s="240">
        <v>2825779.01</v>
      </c>
      <c r="C19" s="240">
        <v>1631324.22</v>
      </c>
    </row>
    <row r="20" spans="1:3" x14ac:dyDescent="0.2">
      <c r="A20" t="s">
        <v>780</v>
      </c>
      <c r="B20" s="240">
        <v>1324229.05</v>
      </c>
      <c r="C20" s="240">
        <v>764478.37</v>
      </c>
    </row>
    <row r="21" spans="1:3" x14ac:dyDescent="0.2">
      <c r="A21" t="s">
        <v>781</v>
      </c>
      <c r="B21" s="240">
        <v>217502</v>
      </c>
      <c r="C21" s="240">
        <v>125564.05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4367510.0599999996</v>
      </c>
      <c r="C22" s="231">
        <f>SUM(C19:C21)</f>
        <v>2521366.6399999997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785670.40999999992</v>
      </c>
      <c r="C27" s="234">
        <f>'DOE25'!G199+'DOE25'!G217+'DOE25'!G235+'DOE25'!G278+'DOE25'!G297+'DOE25'!G316</f>
        <v>409493.43</v>
      </c>
    </row>
    <row r="28" spans="1:3" x14ac:dyDescent="0.2">
      <c r="A28" t="s">
        <v>779</v>
      </c>
      <c r="B28" s="240">
        <v>518856.74</v>
      </c>
      <c r="C28" s="240">
        <v>270429.46000000002</v>
      </c>
    </row>
    <row r="29" spans="1:3" x14ac:dyDescent="0.2">
      <c r="A29" t="s">
        <v>780</v>
      </c>
      <c r="B29" s="240">
        <v>120914.68</v>
      </c>
      <c r="C29" s="240">
        <v>63021.04</v>
      </c>
    </row>
    <row r="30" spans="1:3" x14ac:dyDescent="0.2">
      <c r="A30" t="s">
        <v>781</v>
      </c>
      <c r="B30" s="240">
        <v>145898.99</v>
      </c>
      <c r="C30" s="240">
        <v>76042.929999999993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785670.40999999992</v>
      </c>
      <c r="C31" s="231">
        <f>SUM(C28:C30)</f>
        <v>409493.43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403232.59</v>
      </c>
      <c r="C36" s="235">
        <f>'DOE25'!G200+'DOE25'!G218+'DOE25'!G236+'DOE25'!G279+'DOE25'!G298+'DOE25'!G317</f>
        <v>68307.61</v>
      </c>
    </row>
    <row r="37" spans="1:3" x14ac:dyDescent="0.2">
      <c r="A37" t="s">
        <v>779</v>
      </c>
      <c r="B37" s="240">
        <v>187261.21</v>
      </c>
      <c r="C37" s="240">
        <v>31722.05</v>
      </c>
    </row>
    <row r="38" spans="1:3" x14ac:dyDescent="0.2">
      <c r="A38" t="s">
        <v>780</v>
      </c>
      <c r="B38" s="240">
        <v>75283.520000000004</v>
      </c>
      <c r="C38" s="240">
        <v>12753.03</v>
      </c>
    </row>
    <row r="39" spans="1:3" x14ac:dyDescent="0.2">
      <c r="A39" t="s">
        <v>781</v>
      </c>
      <c r="B39" s="240">
        <v>140687.85999999999</v>
      </c>
      <c r="C39" s="240">
        <v>23832.53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403232.58999999997</v>
      </c>
      <c r="C40" s="231">
        <f>SUM(C37:C39)</f>
        <v>68307.61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Governor WentworthRegional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27733919.780000009</v>
      </c>
      <c r="D5" s="20">
        <f>SUM('DOE25'!L197:L200)+SUM('DOE25'!L215:L218)+SUM('DOE25'!L233:L236)-F5-G5</f>
        <v>27318763.20000001</v>
      </c>
      <c r="E5" s="243"/>
      <c r="F5" s="255">
        <f>SUM('DOE25'!J197:J200)+SUM('DOE25'!J215:J218)+SUM('DOE25'!J233:J236)</f>
        <v>401589</v>
      </c>
      <c r="G5" s="53">
        <f>SUM('DOE25'!K197:K200)+SUM('DOE25'!K215:K218)+SUM('DOE25'!K233:K236)</f>
        <v>13567.58</v>
      </c>
      <c r="H5" s="259"/>
    </row>
    <row r="6" spans="1:9" x14ac:dyDescent="0.2">
      <c r="A6" s="32">
        <v>2100</v>
      </c>
      <c r="B6" t="s">
        <v>801</v>
      </c>
      <c r="C6" s="245">
        <f t="shared" si="0"/>
        <v>1987256.71</v>
      </c>
      <c r="D6" s="20">
        <f>'DOE25'!L202+'DOE25'!L220+'DOE25'!L238-F6-G6</f>
        <v>1984004.7</v>
      </c>
      <c r="E6" s="243"/>
      <c r="F6" s="255">
        <f>'DOE25'!J202+'DOE25'!J220+'DOE25'!J238</f>
        <v>2947.01</v>
      </c>
      <c r="G6" s="53">
        <f>'DOE25'!K202+'DOE25'!K220+'DOE25'!K238</f>
        <v>305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1412873.85</v>
      </c>
      <c r="D7" s="20">
        <f>'DOE25'!L203+'DOE25'!L221+'DOE25'!L239-F7-G7</f>
        <v>1371550.87</v>
      </c>
      <c r="E7" s="243"/>
      <c r="F7" s="255">
        <f>'DOE25'!J203+'DOE25'!J221+'DOE25'!J239</f>
        <v>38944.979999999996</v>
      </c>
      <c r="G7" s="53">
        <f>'DOE25'!K203+'DOE25'!K221+'DOE25'!K239</f>
        <v>2378</v>
      </c>
      <c r="H7" s="259"/>
    </row>
    <row r="8" spans="1:9" x14ac:dyDescent="0.2">
      <c r="A8" s="32">
        <v>2300</v>
      </c>
      <c r="B8" t="s">
        <v>802</v>
      </c>
      <c r="C8" s="245">
        <f t="shared" si="0"/>
        <v>32536.709999999955</v>
      </c>
      <c r="D8" s="243"/>
      <c r="E8" s="20">
        <f>'DOE25'!L204+'DOE25'!L222+'DOE25'!L240-F8-G8-D9-D11</f>
        <v>21120.829999999958</v>
      </c>
      <c r="F8" s="255">
        <f>'DOE25'!J204+'DOE25'!J222+'DOE25'!J240</f>
        <v>1892.1600000000003</v>
      </c>
      <c r="G8" s="53">
        <f>'DOE25'!K204+'DOE25'!K222+'DOE25'!K240</f>
        <v>9523.7199999999993</v>
      </c>
      <c r="H8" s="259"/>
    </row>
    <row r="9" spans="1:9" x14ac:dyDescent="0.2">
      <c r="A9" s="32">
        <v>2310</v>
      </c>
      <c r="B9" t="s">
        <v>818</v>
      </c>
      <c r="C9" s="245">
        <f t="shared" si="0"/>
        <v>98880.75</v>
      </c>
      <c r="D9" s="244">
        <v>98880.75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16285.27</v>
      </c>
      <c r="D10" s="243"/>
      <c r="E10" s="244">
        <v>16285.27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682794.09</v>
      </c>
      <c r="D11" s="244">
        <v>682794.09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2732572.47</v>
      </c>
      <c r="D12" s="20">
        <f>'DOE25'!L205+'DOE25'!L223+'DOE25'!L241-F12-G12</f>
        <v>2714709.9</v>
      </c>
      <c r="E12" s="243"/>
      <c r="F12" s="255">
        <f>'DOE25'!J205+'DOE25'!J223+'DOE25'!J241</f>
        <v>9923.16</v>
      </c>
      <c r="G12" s="53">
        <f>'DOE25'!K205+'DOE25'!K223+'DOE25'!K241</f>
        <v>7939.41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487514.18999999994</v>
      </c>
      <c r="D13" s="243"/>
      <c r="E13" s="20">
        <f>'DOE25'!L206+'DOE25'!L224+'DOE25'!L242-F13-G13</f>
        <v>472588.17</v>
      </c>
      <c r="F13" s="255">
        <f>'DOE25'!J206+'DOE25'!J224+'DOE25'!J242</f>
        <v>650.61</v>
      </c>
      <c r="G13" s="53">
        <f>'DOE25'!K206+'DOE25'!K224+'DOE25'!K242</f>
        <v>14275.41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3708501.0999999996</v>
      </c>
      <c r="D14" s="20">
        <f>'DOE25'!L207+'DOE25'!L225+'DOE25'!L243-F14-G14</f>
        <v>3661819.9399999995</v>
      </c>
      <c r="E14" s="243"/>
      <c r="F14" s="255">
        <f>'DOE25'!J207+'DOE25'!J225+'DOE25'!J243</f>
        <v>46681.16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2101806.3899999997</v>
      </c>
      <c r="D15" s="20">
        <f>'DOE25'!L208+'DOE25'!L226+'DOE25'!L244-F15-G15</f>
        <v>1876722.0499999996</v>
      </c>
      <c r="E15" s="243"/>
      <c r="F15" s="255">
        <f>'DOE25'!J208+'DOE25'!J226+'DOE25'!J244</f>
        <v>225084.34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10071.61</v>
      </c>
      <c r="D17" s="20">
        <f>'DOE25'!L251-F17-G17</f>
        <v>10071.61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6046.7</v>
      </c>
      <c r="D19" s="20">
        <f>'DOE25'!L253-F19-G19</f>
        <v>6046.7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179487.5</v>
      </c>
      <c r="D22" s="243"/>
      <c r="E22" s="243"/>
      <c r="F22" s="255">
        <f>'DOE25'!L255+'DOE25'!L336</f>
        <v>179487.5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3600900.5</v>
      </c>
      <c r="D25" s="243"/>
      <c r="E25" s="243"/>
      <c r="F25" s="258"/>
      <c r="G25" s="256"/>
      <c r="H25" s="257">
        <f>'DOE25'!L260+'DOE25'!L261+'DOE25'!L341+'DOE25'!L342</f>
        <v>3600900.5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597970.47999999986</v>
      </c>
      <c r="D29" s="20">
        <f>'DOE25'!L358+'DOE25'!L359+'DOE25'!L360-'DOE25'!I367-F29-G29</f>
        <v>591870.83999999985</v>
      </c>
      <c r="E29" s="243"/>
      <c r="F29" s="255">
        <f>'DOE25'!J358+'DOE25'!J359+'DOE25'!J360</f>
        <v>6099.64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1672758.3</v>
      </c>
      <c r="D31" s="20">
        <f>'DOE25'!L290+'DOE25'!L309+'DOE25'!L328+'DOE25'!L333+'DOE25'!L334+'DOE25'!L335-F31-G31</f>
        <v>1589089.27</v>
      </c>
      <c r="E31" s="243"/>
      <c r="F31" s="255">
        <f>'DOE25'!J290+'DOE25'!J309+'DOE25'!J328+'DOE25'!J333+'DOE25'!J334+'DOE25'!J335</f>
        <v>77703.549999999988</v>
      </c>
      <c r="G31" s="53">
        <f>'DOE25'!K290+'DOE25'!K309+'DOE25'!K328+'DOE25'!K333+'DOE25'!K334+'DOE25'!K335</f>
        <v>5965.4800000000005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41906323.920000009</v>
      </c>
      <c r="E33" s="246">
        <f>SUM(E5:E31)</f>
        <v>509994.26999999996</v>
      </c>
      <c r="F33" s="246">
        <f>SUM(F5:F31)</f>
        <v>991003.10999999987</v>
      </c>
      <c r="G33" s="246">
        <f>SUM(G5:G31)</f>
        <v>53954.6</v>
      </c>
      <c r="H33" s="246">
        <f>SUM(H5:H31)</f>
        <v>3600900.5</v>
      </c>
    </row>
    <row r="35" spans="2:8" ht="12" thickBot="1" x14ac:dyDescent="0.25">
      <c r="B35" s="253" t="s">
        <v>847</v>
      </c>
      <c r="D35" s="254">
        <f>E33</f>
        <v>509994.26999999996</v>
      </c>
      <c r="E35" s="249"/>
    </row>
    <row r="36" spans="2:8" ht="12" thickTop="1" x14ac:dyDescent="0.2">
      <c r="B36" t="s">
        <v>815</v>
      </c>
      <c r="D36" s="20">
        <f>D33</f>
        <v>41906323.920000009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Governor WentworthRegional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1164178.29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343809.94</v>
      </c>
      <c r="D11" s="95">
        <f>'DOE25'!G12</f>
        <v>26141.119999999999</v>
      </c>
      <c r="E11" s="95">
        <f>'DOE25'!H12</f>
        <v>0</v>
      </c>
      <c r="F11" s="95">
        <f>'DOE25'!I12</f>
        <v>65388.04</v>
      </c>
      <c r="G11" s="95">
        <f>'DOE25'!J12</f>
        <v>44042.7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673325.35</v>
      </c>
      <c r="D12" s="95">
        <f>'DOE25'!G13</f>
        <v>36149.01</v>
      </c>
      <c r="E12" s="95">
        <f>'DOE25'!H13</f>
        <v>574001.42000000004</v>
      </c>
      <c r="F12" s="95">
        <f>'DOE25'!I13</f>
        <v>0</v>
      </c>
      <c r="G12" s="95">
        <f>'DOE25'!J13</f>
        <v>1355162.66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6035.09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2187358.67</v>
      </c>
      <c r="D18" s="41">
        <f>SUM(D8:D17)</f>
        <v>62290.130000000005</v>
      </c>
      <c r="E18" s="41">
        <f>SUM(E8:E17)</f>
        <v>574001.42000000004</v>
      </c>
      <c r="F18" s="41">
        <f>SUM(F8:F17)</f>
        <v>65388.04</v>
      </c>
      <c r="G18" s="41">
        <f>SUM(G8:G17)</f>
        <v>1399205.3599999999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492755.25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231775.78</v>
      </c>
      <c r="D27" s="95">
        <f>'DOE25'!G28</f>
        <v>14906.02</v>
      </c>
      <c r="E27" s="95">
        <f>'DOE25'!H28</f>
        <v>29487.919999999998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191325.4</v>
      </c>
      <c r="D29" s="95">
        <f>'DOE25'!G30</f>
        <v>18501.060000000001</v>
      </c>
      <c r="E29" s="95">
        <f>'DOE25'!H30</f>
        <v>51758.25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423101.18</v>
      </c>
      <c r="D31" s="41">
        <f>SUM(D21:D30)</f>
        <v>33407.08</v>
      </c>
      <c r="E31" s="41">
        <f>SUM(E21:E30)</f>
        <v>574001.41999999993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28883.05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60000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65388.04</v>
      </c>
      <c r="G47" s="95">
        <f>'DOE25'!J48</f>
        <v>1399205.36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25111.25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1679146.24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1764257.49</v>
      </c>
      <c r="D50" s="41">
        <f>SUM(D34:D49)</f>
        <v>28883.05</v>
      </c>
      <c r="E50" s="41">
        <f>SUM(E34:E49)</f>
        <v>0</v>
      </c>
      <c r="F50" s="41">
        <f>SUM(F34:F49)</f>
        <v>65388.04</v>
      </c>
      <c r="G50" s="41">
        <f>SUM(G34:G49)</f>
        <v>1399205.36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2187358.67</v>
      </c>
      <c r="D51" s="41">
        <f>D50+D31</f>
        <v>62290.130000000005</v>
      </c>
      <c r="E51" s="41">
        <f>E50+E31</f>
        <v>574001.41999999993</v>
      </c>
      <c r="F51" s="41">
        <f>F50+F31</f>
        <v>65388.04</v>
      </c>
      <c r="G51" s="41">
        <f>G50+G31</f>
        <v>1399205.36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24946649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1731037.9400000002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677.14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46057.03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490463.93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523572.84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3898.56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2255287.92</v>
      </c>
      <c r="D62" s="130">
        <f>SUM(D57:D61)</f>
        <v>490463.93</v>
      </c>
      <c r="E62" s="130">
        <f>SUM(E57:E61)</f>
        <v>0</v>
      </c>
      <c r="F62" s="130">
        <f>SUM(F57:F61)</f>
        <v>0</v>
      </c>
      <c r="G62" s="130">
        <f>SUM(G57:G61)</f>
        <v>49955.59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27201936.920000002</v>
      </c>
      <c r="D63" s="22">
        <f>D56+D62</f>
        <v>490463.93</v>
      </c>
      <c r="E63" s="22">
        <f>E56+E62</f>
        <v>0</v>
      </c>
      <c r="F63" s="22">
        <f>F56+F62</f>
        <v>0</v>
      </c>
      <c r="G63" s="22">
        <f>G56+G62</f>
        <v>49955.59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4036025.55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10468683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14504708.550000001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1642827.66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109499.05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237334.97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11917.67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1989661.68</v>
      </c>
      <c r="D78" s="130">
        <f>SUM(D72:D77)</f>
        <v>11917.67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16494370.23</v>
      </c>
      <c r="D81" s="130">
        <f>SUM(D79:D80)+D78+D70</f>
        <v>11917.67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518861.16</v>
      </c>
      <c r="E88" s="95">
        <f>SUM('DOE25'!H153:H161)</f>
        <v>1672758.3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0</v>
      </c>
      <c r="D91" s="131">
        <f>SUM(D85:D90)</f>
        <v>518861.16</v>
      </c>
      <c r="E91" s="131">
        <f>SUM(E85:E90)</f>
        <v>1672758.3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60000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60000</v>
      </c>
    </row>
    <row r="104" spans="1:7" ht="12.75" thickTop="1" thickBot="1" x14ac:dyDescent="0.25">
      <c r="A104" s="33" t="s">
        <v>765</v>
      </c>
      <c r="C104" s="86">
        <f>C63+C81+C91+C103</f>
        <v>43696307.150000006</v>
      </c>
      <c r="D104" s="86">
        <f>D63+D81+D91+D103</f>
        <v>1021242.76</v>
      </c>
      <c r="E104" s="86">
        <f>E63+E81+E91+E103</f>
        <v>1672758.3</v>
      </c>
      <c r="F104" s="86">
        <f>F63+F81+F91+F103</f>
        <v>0</v>
      </c>
      <c r="G104" s="86">
        <f>G63+G81+G103</f>
        <v>109955.59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18079730.57</v>
      </c>
      <c r="D109" s="24" t="s">
        <v>289</v>
      </c>
      <c r="E109" s="95">
        <f>('DOE25'!L276)+('DOE25'!L295)+('DOE25'!L314)</f>
        <v>577926.67000000004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7748239.0600000015</v>
      </c>
      <c r="D110" s="24" t="s">
        <v>289</v>
      </c>
      <c r="E110" s="95">
        <f>('DOE25'!L277)+('DOE25'!L296)+('DOE25'!L315)</f>
        <v>403790.07999999996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1233622.6399999999</v>
      </c>
      <c r="D111" s="24" t="s">
        <v>289</v>
      </c>
      <c r="E111" s="95">
        <f>('DOE25'!L278)+('DOE25'!L297)+('DOE25'!L316)</f>
        <v>135377.83000000002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672327.51</v>
      </c>
      <c r="D112" s="24" t="s">
        <v>289</v>
      </c>
      <c r="E112" s="95">
        <f>+('DOE25'!L279)+('DOE25'!L298)+('DOE25'!L317)</f>
        <v>20269.21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16118.310000000001</v>
      </c>
      <c r="D114" s="24" t="s">
        <v>289</v>
      </c>
      <c r="E114" s="95">
        <f>+ SUM('DOE25'!L333:L335)</f>
        <v>220403.26999999996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27750038.090000004</v>
      </c>
      <c r="D115" s="86">
        <f>SUM(D109:D114)</f>
        <v>0</v>
      </c>
      <c r="E115" s="86">
        <f>SUM(E109:E114)</f>
        <v>1357767.06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1987256.71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1412873.85</v>
      </c>
      <c r="D119" s="24" t="s">
        <v>289</v>
      </c>
      <c r="E119" s="95">
        <f>+('DOE25'!L282)+('DOE25'!L301)+('DOE25'!L320)</f>
        <v>301991.24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814211.54999999993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2732572.47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487514.18999999994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3708501.0999999996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2101806.3899999997</v>
      </c>
      <c r="D124" s="24" t="s">
        <v>289</v>
      </c>
      <c r="E124" s="95">
        <f>+('DOE25'!L287)+('DOE25'!L306)+('DOE25'!L325)</f>
        <v>13000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1025308.8699999999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13244736.259999998</v>
      </c>
      <c r="D128" s="86">
        <f>SUM(D118:D127)</f>
        <v>1025308.8699999999</v>
      </c>
      <c r="E128" s="86">
        <f>SUM(E118:E127)</f>
        <v>314991.24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179487.5</v>
      </c>
      <c r="D130" s="24" t="s">
        <v>289</v>
      </c>
      <c r="E130" s="129">
        <f>'DOE25'!L336</f>
        <v>0</v>
      </c>
      <c r="F130" s="129">
        <f>SUM('DOE25'!L374:'DOE25'!L380)</f>
        <v>49248.68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2793651.99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807248.51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21992.600000000002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109955.59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-49955.59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3840388</v>
      </c>
      <c r="D144" s="141">
        <f>SUM(D130:D143)</f>
        <v>0</v>
      </c>
      <c r="E144" s="141">
        <f>SUM(E130:E143)</f>
        <v>0</v>
      </c>
      <c r="F144" s="141">
        <f>SUM(F130:F143)</f>
        <v>49248.68</v>
      </c>
      <c r="G144" s="141">
        <f>SUM(G130:G143)</f>
        <v>21992.600000000002</v>
      </c>
    </row>
    <row r="145" spans="1:9" ht="12.75" thickTop="1" thickBot="1" x14ac:dyDescent="0.25">
      <c r="A145" s="33" t="s">
        <v>244</v>
      </c>
      <c r="C145" s="86">
        <f>(C115+C128+C144)</f>
        <v>44835162.350000001</v>
      </c>
      <c r="D145" s="86">
        <f>(D115+D128+D144)</f>
        <v>1025308.8699999999</v>
      </c>
      <c r="E145" s="86">
        <f>(E115+E128+E144)</f>
        <v>1672758.3</v>
      </c>
      <c r="F145" s="86">
        <f>(F115+F128+F144)</f>
        <v>49248.68</v>
      </c>
      <c r="G145" s="86">
        <f>(G115+G128+G144)</f>
        <v>21992.600000000002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30</v>
      </c>
      <c r="C151" s="153">
        <f>'DOE25'!G490</f>
        <v>30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07/09</v>
      </c>
      <c r="C152" s="152" t="str">
        <f>'DOE25'!G491</f>
        <v>07/10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07/39</v>
      </c>
      <c r="C153" s="152" t="str">
        <f>'DOE25'!G492</f>
        <v>08/40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25000000</v>
      </c>
      <c r="C154" s="137">
        <f>'DOE25'!G493</f>
        <v>325508500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4.3</v>
      </c>
      <c r="C155" s="137">
        <f>'DOE25'!G494</f>
        <v>4.46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18123880.48</v>
      </c>
      <c r="C156" s="137">
        <f>'DOE25'!G495</f>
        <v>24272042.960000001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42395923.439999998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1161713.9299999997</v>
      </c>
      <c r="C158" s="137">
        <f>'DOE25'!G497</f>
        <v>1631938.0600000024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2793651.9900000021</v>
      </c>
    </row>
    <row r="159" spans="1:9" x14ac:dyDescent="0.2">
      <c r="A159" s="22" t="s">
        <v>35</v>
      </c>
      <c r="B159" s="137">
        <f>'DOE25'!F498</f>
        <v>16962166.550000001</v>
      </c>
      <c r="C159" s="137">
        <f>'DOE25'!G498</f>
        <v>22640104.899999999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39602271.450000003</v>
      </c>
    </row>
    <row r="160" spans="1:9" x14ac:dyDescent="0.2">
      <c r="A160" s="22" t="s">
        <v>36</v>
      </c>
      <c r="B160" s="137">
        <f>'DOE25'!F499</f>
        <v>18968842.989999998</v>
      </c>
      <c r="C160" s="137">
        <f>'DOE25'!G499</f>
        <v>27864163.850000001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46833006.840000004</v>
      </c>
    </row>
    <row r="161" spans="1:7" x14ac:dyDescent="0.2">
      <c r="A161" s="22" t="s">
        <v>37</v>
      </c>
      <c r="B161" s="137">
        <f>'DOE25'!F500</f>
        <v>35931009.539999999</v>
      </c>
      <c r="C161" s="137">
        <f>'DOE25'!G500</f>
        <v>50504268.75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86435278.289999992</v>
      </c>
    </row>
    <row r="162" spans="1:7" x14ac:dyDescent="0.2">
      <c r="A162" s="22" t="s">
        <v>38</v>
      </c>
      <c r="B162" s="137">
        <f>'DOE25'!F501</f>
        <v>1115835.6000000001</v>
      </c>
      <c r="C162" s="137">
        <f>'DOE25'!G501</f>
        <v>1555259.36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2671094.96</v>
      </c>
    </row>
    <row r="163" spans="1:7" x14ac:dyDescent="0.2">
      <c r="A163" s="22" t="s">
        <v>39</v>
      </c>
      <c r="B163" s="137">
        <f>'DOE25'!F502</f>
        <v>384100.4</v>
      </c>
      <c r="C163" s="137">
        <f>'DOE25'!G502</f>
        <v>547703.14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931803.54</v>
      </c>
    </row>
    <row r="164" spans="1:7" x14ac:dyDescent="0.2">
      <c r="A164" s="22" t="s">
        <v>246</v>
      </c>
      <c r="B164" s="137">
        <f>'DOE25'!F503</f>
        <v>1499936</v>
      </c>
      <c r="C164" s="137">
        <f>'DOE25'!G503</f>
        <v>2102962.5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3602898.5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Governor WentworthRegional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17154</v>
      </c>
    </row>
    <row r="5" spans="1:4" x14ac:dyDescent="0.2">
      <c r="B5" t="s">
        <v>704</v>
      </c>
      <c r="C5" s="179">
        <f>IF('DOE25'!G665+'DOE25'!G670=0,0,ROUND('DOE25'!G672,0))</f>
        <v>18011</v>
      </c>
    </row>
    <row r="6" spans="1:4" x14ac:dyDescent="0.2">
      <c r="B6" t="s">
        <v>62</v>
      </c>
      <c r="C6" s="179">
        <f>IF('DOE25'!H665+'DOE25'!H670=0,0,ROUND('DOE25'!H672,0))</f>
        <v>15867</v>
      </c>
    </row>
    <row r="7" spans="1:4" x14ac:dyDescent="0.2">
      <c r="B7" t="s">
        <v>705</v>
      </c>
      <c r="C7" s="179">
        <f>IF('DOE25'!I665+'DOE25'!I670=0,0,ROUND('DOE25'!I672,0))</f>
        <v>16843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18657657</v>
      </c>
      <c r="D10" s="182">
        <f>ROUND((C10/$C$28)*100,1)</f>
        <v>42.4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8152029</v>
      </c>
      <c r="D11" s="182">
        <f>ROUND((C11/$C$28)*100,1)</f>
        <v>18.5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1369000</v>
      </c>
      <c r="D12" s="182">
        <f>ROUND((C12/$C$28)*100,1)</f>
        <v>3.1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692597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1987257</v>
      </c>
      <c r="D15" s="182">
        <f t="shared" ref="D15:D27" si="0">ROUND((C15/$C$28)*100,1)</f>
        <v>4.5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1714865</v>
      </c>
      <c r="D16" s="182">
        <f t="shared" si="0"/>
        <v>3.9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814212</v>
      </c>
      <c r="D17" s="182">
        <f t="shared" si="0"/>
        <v>1.9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2732572</v>
      </c>
      <c r="D18" s="182">
        <f t="shared" si="0"/>
        <v>6.2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487514</v>
      </c>
      <c r="D19" s="182">
        <f t="shared" si="0"/>
        <v>1.1000000000000001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3708501</v>
      </c>
      <c r="D20" s="182">
        <f t="shared" si="0"/>
        <v>8.4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2114806</v>
      </c>
      <c r="D21" s="182">
        <f t="shared" si="0"/>
        <v>4.8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236522</v>
      </c>
      <c r="D24" s="182">
        <f t="shared" si="0"/>
        <v>0.5</v>
      </c>
    </row>
    <row r="25" spans="1:4" x14ac:dyDescent="0.2">
      <c r="A25">
        <v>5120</v>
      </c>
      <c r="B25" t="s">
        <v>720</v>
      </c>
      <c r="C25" s="179">
        <f>ROUND('DOE25'!L261+'DOE25'!L342,0)</f>
        <v>807249</v>
      </c>
      <c r="D25" s="182">
        <f t="shared" si="0"/>
        <v>1.8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534845.07000000007</v>
      </c>
      <c r="D27" s="182">
        <f t="shared" si="0"/>
        <v>1.2</v>
      </c>
    </row>
    <row r="28" spans="1:4" x14ac:dyDescent="0.2">
      <c r="B28" s="187" t="s">
        <v>723</v>
      </c>
      <c r="C28" s="180">
        <f>SUM(C10:C27)</f>
        <v>44009626.07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228736</v>
      </c>
    </row>
    <row r="30" spans="1:4" x14ac:dyDescent="0.2">
      <c r="B30" s="187" t="s">
        <v>729</v>
      </c>
      <c r="C30" s="180">
        <f>SUM(C28:C29)</f>
        <v>44238362.07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2793652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24946649</v>
      </c>
      <c r="D35" s="182">
        <f t="shared" ref="D35:D40" si="1">ROUND((C35/$C$41)*100,1)</f>
        <v>54.3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2305243.5100000016</v>
      </c>
      <c r="D36" s="182">
        <f t="shared" si="1"/>
        <v>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14504709</v>
      </c>
      <c r="D37" s="182">
        <f t="shared" si="1"/>
        <v>31.6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2001579</v>
      </c>
      <c r="D38" s="182">
        <f t="shared" si="1"/>
        <v>4.4000000000000004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2191619</v>
      </c>
      <c r="D39" s="182">
        <f t="shared" si="1"/>
        <v>4.8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45949799.510000005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Governor WentworthRegional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0" sqref="B50"/>
    </sheetView>
  </sheetViews>
  <sheetFormatPr defaultRowHeight="11.25" x14ac:dyDescent="0.2"/>
  <sheetData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2016-08-19T14:57:29Z</cp:lastPrinted>
  <dcterms:created xsi:type="dcterms:W3CDTF">1997-12-04T19:04:30Z</dcterms:created>
  <dcterms:modified xsi:type="dcterms:W3CDTF">2016-11-29T14:45:41Z</dcterms:modified>
</cp:coreProperties>
</file>