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11" i="13" l="1"/>
  <c r="C19" i="12" l="1"/>
  <c r="C10" i="12"/>
  <c r="B19" i="12"/>
  <c r="B10" i="12"/>
  <c r="F50" i="1" l="1"/>
  <c r="F22" i="1"/>
  <c r="K263" i="1"/>
  <c r="G179" i="1"/>
  <c r="H110" i="1" l="1"/>
  <c r="H48" i="1"/>
  <c r="H13" i="1"/>
  <c r="H159" i="1"/>
  <c r="H18" i="1"/>
  <c r="H604" i="1" l="1"/>
  <c r="I332" i="1" l="1"/>
  <c r="G332" i="1"/>
  <c r="F332" i="1"/>
  <c r="G282" i="1" l="1"/>
  <c r="H277" i="1"/>
  <c r="I276" i="1"/>
  <c r="H591" i="1" l="1"/>
  <c r="J591" i="1"/>
  <c r="I591" i="1"/>
  <c r="H208" i="1"/>
  <c r="H244" i="1"/>
  <c r="H578" i="1" l="1"/>
  <c r="H575" i="1"/>
  <c r="G575" i="1"/>
  <c r="I526" i="1"/>
  <c r="H526" i="1"/>
  <c r="G526" i="1"/>
  <c r="F526" i="1"/>
  <c r="I521" i="1"/>
  <c r="G521" i="1"/>
  <c r="F521" i="1"/>
  <c r="K521" i="1"/>
  <c r="J521" i="1"/>
  <c r="H521" i="1"/>
  <c r="F499" i="1" l="1"/>
  <c r="F498" i="1"/>
  <c r="F368" i="1" l="1"/>
  <c r="F367" i="1"/>
  <c r="G22" i="1"/>
  <c r="G13" i="1"/>
  <c r="G472" i="1"/>
  <c r="G358" i="1"/>
  <c r="I358" i="1"/>
  <c r="G158" i="1"/>
  <c r="G97" i="1"/>
  <c r="F198" i="1"/>
  <c r="F204" i="1"/>
  <c r="J207" i="1"/>
  <c r="I207" i="1"/>
  <c r="H207" i="1"/>
  <c r="G207" i="1"/>
  <c r="F207" i="1"/>
  <c r="K205" i="1"/>
  <c r="I205" i="1"/>
  <c r="H205" i="1"/>
  <c r="G205" i="1"/>
  <c r="F205" i="1"/>
  <c r="K204" i="1"/>
  <c r="I204" i="1"/>
  <c r="H204" i="1"/>
  <c r="G204" i="1"/>
  <c r="J203" i="1"/>
  <c r="I203" i="1"/>
  <c r="H203" i="1"/>
  <c r="G203" i="1"/>
  <c r="F203" i="1"/>
  <c r="H202" i="1"/>
  <c r="I202" i="1"/>
  <c r="G202" i="1"/>
  <c r="F202" i="1"/>
  <c r="H198" i="1"/>
  <c r="K202" i="1"/>
  <c r="J202" i="1"/>
  <c r="H234" i="1"/>
  <c r="J198" i="1"/>
  <c r="I198" i="1"/>
  <c r="G198" i="1"/>
  <c r="I197" i="1" l="1"/>
  <c r="H233" i="1"/>
  <c r="J197" i="1"/>
  <c r="H197" i="1"/>
  <c r="G197" i="1"/>
  <c r="F197" i="1"/>
  <c r="F29" i="1" l="1"/>
  <c r="F31" i="1"/>
  <c r="F9" i="1"/>
  <c r="F57" i="1" l="1"/>
  <c r="F110" i="1" l="1"/>
  <c r="C45" i="2" l="1"/>
  <c r="F51" i="1"/>
  <c r="C37" i="10" l="1"/>
  <c r="F40" i="2" l="1"/>
  <c r="D39" i="2"/>
  <c r="G655" i="1"/>
  <c r="F48" i="2"/>
  <c r="E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D6" i="13" s="1"/>
  <c r="C6" i="13" s="1"/>
  <c r="L202" i="1"/>
  <c r="L220" i="1"/>
  <c r="L238" i="1"/>
  <c r="F7" i="13"/>
  <c r="G7" i="13"/>
  <c r="L203" i="1"/>
  <c r="D7" i="13" s="1"/>
  <c r="C7" i="13" s="1"/>
  <c r="L221" i="1"/>
  <c r="L239" i="1"/>
  <c r="F12" i="13"/>
  <c r="G12" i="13"/>
  <c r="L205" i="1"/>
  <c r="L223" i="1"/>
  <c r="F14" i="13"/>
  <c r="G14" i="13"/>
  <c r="L207" i="1"/>
  <c r="L225" i="1"/>
  <c r="L243" i="1"/>
  <c r="F15" i="13"/>
  <c r="G15" i="13"/>
  <c r="L208" i="1"/>
  <c r="G649" i="1" s="1"/>
  <c r="L226" i="1"/>
  <c r="L244" i="1"/>
  <c r="G17" i="13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E110" i="2" s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2" i="10"/>
  <c r="C13" i="10"/>
  <c r="C15" i="10"/>
  <c r="C19" i="10"/>
  <c r="C20" i="10"/>
  <c r="L250" i="1"/>
  <c r="L332" i="1"/>
  <c r="L254" i="1"/>
  <c r="L268" i="1"/>
  <c r="L269" i="1"/>
  <c r="L349" i="1"/>
  <c r="L350" i="1"/>
  <c r="I665" i="1"/>
  <c r="I670" i="1"/>
  <c r="L229" i="1"/>
  <c r="F662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C112" i="2"/>
  <c r="E112" i="2"/>
  <c r="C113" i="2"/>
  <c r="E113" i="2"/>
  <c r="E114" i="2"/>
  <c r="D115" i="2"/>
  <c r="F115" i="2"/>
  <c r="G115" i="2"/>
  <c r="C118" i="2"/>
  <c r="E118" i="2"/>
  <c r="E119" i="2"/>
  <c r="E120" i="2"/>
  <c r="E121" i="2"/>
  <c r="C122" i="2"/>
  <c r="E122" i="2"/>
  <c r="C123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51" i="1" s="1"/>
  <c r="G32" i="1"/>
  <c r="H32" i="1"/>
  <c r="I32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F211" i="1"/>
  <c r="F257" i="1" s="1"/>
  <c r="F271" i="1" s="1"/>
  <c r="G211" i="1"/>
  <c r="H211" i="1"/>
  <c r="I211" i="1"/>
  <c r="I257" i="1" s="1"/>
  <c r="I271" i="1" s="1"/>
  <c r="J211" i="1"/>
  <c r="K211" i="1"/>
  <c r="K257" i="1" s="1"/>
  <c r="K271" i="1" s="1"/>
  <c r="F229" i="1"/>
  <c r="G229" i="1"/>
  <c r="H229" i="1"/>
  <c r="I229" i="1"/>
  <c r="J229" i="1"/>
  <c r="K229" i="1"/>
  <c r="F247" i="1"/>
  <c r="H247" i="1"/>
  <c r="I247" i="1"/>
  <c r="J247" i="1"/>
  <c r="K247" i="1"/>
  <c r="F256" i="1"/>
  <c r="G256" i="1"/>
  <c r="H256" i="1"/>
  <c r="I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G338" i="1" s="1"/>
  <c r="G352" i="1" s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J640" i="1" s="1"/>
  <c r="H446" i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I470" i="1"/>
  <c r="I476" i="1" s="1"/>
  <c r="H625" i="1" s="1"/>
  <c r="J470" i="1"/>
  <c r="G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G545" i="1" s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5" i="1"/>
  <c r="H630" i="1"/>
  <c r="H631" i="1"/>
  <c r="H634" i="1"/>
  <c r="H635" i="1"/>
  <c r="H636" i="1"/>
  <c r="H637" i="1"/>
  <c r="H638" i="1"/>
  <c r="G639" i="1"/>
  <c r="H639" i="1"/>
  <c r="H640" i="1"/>
  <c r="G641" i="1"/>
  <c r="H641" i="1"/>
  <c r="G643" i="1"/>
  <c r="H643" i="1"/>
  <c r="G644" i="1"/>
  <c r="H644" i="1"/>
  <c r="G645" i="1"/>
  <c r="H645" i="1"/>
  <c r="G650" i="1"/>
  <c r="G652" i="1"/>
  <c r="H652" i="1"/>
  <c r="G653" i="1"/>
  <c r="H653" i="1"/>
  <c r="G654" i="1"/>
  <c r="H654" i="1"/>
  <c r="H655" i="1"/>
  <c r="F192" i="1"/>
  <c r="C26" i="10"/>
  <c r="L328" i="1"/>
  <c r="L351" i="1"/>
  <c r="A31" i="12"/>
  <c r="A40" i="12"/>
  <c r="D62" i="2"/>
  <c r="D63" i="2" s="1"/>
  <c r="D18" i="13"/>
  <c r="C18" i="13" s="1"/>
  <c r="D18" i="2"/>
  <c r="C91" i="2"/>
  <c r="F78" i="2"/>
  <c r="F81" i="2" s="1"/>
  <c r="G157" i="2"/>
  <c r="F18" i="2"/>
  <c r="G156" i="2"/>
  <c r="E103" i="2"/>
  <c r="D91" i="2"/>
  <c r="G62" i="2"/>
  <c r="D19" i="13"/>
  <c r="C19" i="13" s="1"/>
  <c r="D14" i="13"/>
  <c r="C14" i="13" s="1"/>
  <c r="E13" i="13"/>
  <c r="C13" i="13" s="1"/>
  <c r="E78" i="2"/>
  <c r="E81" i="2" s="1"/>
  <c r="L427" i="1"/>
  <c r="F112" i="1"/>
  <c r="J641" i="1"/>
  <c r="J639" i="1"/>
  <c r="J571" i="1"/>
  <c r="K571" i="1"/>
  <c r="L433" i="1"/>
  <c r="L419" i="1"/>
  <c r="D81" i="2"/>
  <c r="I169" i="1"/>
  <c r="G552" i="1"/>
  <c r="J644" i="1"/>
  <c r="J643" i="1"/>
  <c r="J476" i="1"/>
  <c r="H626" i="1" s="1"/>
  <c r="J140" i="1"/>
  <c r="F571" i="1"/>
  <c r="I552" i="1"/>
  <c r="K550" i="1"/>
  <c r="G22" i="2"/>
  <c r="K545" i="1"/>
  <c r="H552" i="1"/>
  <c r="C29" i="10"/>
  <c r="H140" i="1"/>
  <c r="L401" i="1"/>
  <c r="C139" i="2" s="1"/>
  <c r="L393" i="1"/>
  <c r="A13" i="12"/>
  <c r="F22" i="13"/>
  <c r="H25" i="13"/>
  <c r="C25" i="13" s="1"/>
  <c r="H571" i="1"/>
  <c r="L560" i="1"/>
  <c r="G192" i="1"/>
  <c r="E128" i="2"/>
  <c r="C35" i="10"/>
  <c r="L309" i="1"/>
  <c r="J655" i="1"/>
  <c r="J645" i="1"/>
  <c r="L570" i="1"/>
  <c r="I571" i="1"/>
  <c r="J636" i="1"/>
  <c r="G36" i="2"/>
  <c r="L565" i="1"/>
  <c r="C22" i="13"/>
  <c r="C138" i="2"/>
  <c r="H33" i="13"/>
  <c r="F552" i="1" l="1"/>
  <c r="I446" i="1"/>
  <c r="G642" i="1" s="1"/>
  <c r="F338" i="1"/>
  <c r="F352" i="1" s="1"/>
  <c r="E31" i="2"/>
  <c r="H52" i="1"/>
  <c r="H619" i="1" s="1"/>
  <c r="J619" i="1" s="1"/>
  <c r="I545" i="1"/>
  <c r="E115" i="2"/>
  <c r="L290" i="1"/>
  <c r="H169" i="1"/>
  <c r="H193" i="1" s="1"/>
  <c r="J649" i="1"/>
  <c r="K551" i="1"/>
  <c r="L544" i="1"/>
  <c r="C21" i="10"/>
  <c r="D15" i="13"/>
  <c r="C15" i="13" s="1"/>
  <c r="H545" i="1"/>
  <c r="K549" i="1"/>
  <c r="L524" i="1"/>
  <c r="K503" i="1"/>
  <c r="K500" i="1"/>
  <c r="J625" i="1"/>
  <c r="J634" i="1"/>
  <c r="D31" i="2"/>
  <c r="F661" i="1"/>
  <c r="L362" i="1"/>
  <c r="C27" i="10" s="1"/>
  <c r="D127" i="2"/>
  <c r="D128" i="2" s="1"/>
  <c r="D145" i="2" s="1"/>
  <c r="H661" i="1"/>
  <c r="D29" i="13"/>
  <c r="C29" i="13" s="1"/>
  <c r="I661" i="1"/>
  <c r="C132" i="2"/>
  <c r="E16" i="13"/>
  <c r="C16" i="13" s="1"/>
  <c r="E8" i="13"/>
  <c r="C8" i="13" s="1"/>
  <c r="C119" i="2"/>
  <c r="C16" i="10"/>
  <c r="C110" i="2"/>
  <c r="H662" i="1"/>
  <c r="I662" i="1" s="1"/>
  <c r="H647" i="1"/>
  <c r="J647" i="1" s="1"/>
  <c r="G651" i="1"/>
  <c r="J651" i="1" s="1"/>
  <c r="C124" i="2"/>
  <c r="C120" i="2"/>
  <c r="H257" i="1"/>
  <c r="H271" i="1" s="1"/>
  <c r="C17" i="10"/>
  <c r="C11" i="10"/>
  <c r="C10" i="10"/>
  <c r="C109" i="2"/>
  <c r="L211" i="1"/>
  <c r="D5" i="13"/>
  <c r="C5" i="13" s="1"/>
  <c r="E35" i="2"/>
  <c r="E50" i="2" s="1"/>
  <c r="G624" i="1"/>
  <c r="C18" i="2"/>
  <c r="H617" i="1"/>
  <c r="J617" i="1" s="1"/>
  <c r="C62" i="2"/>
  <c r="C63" i="2" s="1"/>
  <c r="C81" i="2"/>
  <c r="L337" i="1"/>
  <c r="L338" i="1" s="1"/>
  <c r="L352" i="1" s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C50" i="2"/>
  <c r="F31" i="2"/>
  <c r="C31" i="2"/>
  <c r="E18" i="2"/>
  <c r="E144" i="2"/>
  <c r="F50" i="2"/>
  <c r="F51" i="2" s="1"/>
  <c r="E145" i="2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G169" i="1"/>
  <c r="G140" i="1"/>
  <c r="F140" i="1"/>
  <c r="F193" i="1" s="1"/>
  <c r="C36" i="10"/>
  <c r="G63" i="2"/>
  <c r="G104" i="2" s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J642" i="1"/>
  <c r="G571" i="1"/>
  <c r="I434" i="1"/>
  <c r="G434" i="1"/>
  <c r="E104" i="2"/>
  <c r="I663" i="1"/>
  <c r="E51" i="2" l="1"/>
  <c r="G633" i="1"/>
  <c r="H472" i="1"/>
  <c r="D31" i="13"/>
  <c r="C31" i="13" s="1"/>
  <c r="C39" i="10"/>
  <c r="G629" i="1"/>
  <c r="H468" i="1"/>
  <c r="K552" i="1"/>
  <c r="L545" i="1"/>
  <c r="G635" i="1"/>
  <c r="J635" i="1" s="1"/>
  <c r="G672" i="1"/>
  <c r="C5" i="10" s="1"/>
  <c r="E33" i="13"/>
  <c r="D35" i="13" s="1"/>
  <c r="G247" i="1"/>
  <c r="G257" i="1" s="1"/>
  <c r="G271" i="1" s="1"/>
  <c r="L241" i="1"/>
  <c r="F660" i="1"/>
  <c r="F664" i="1" s="1"/>
  <c r="F672" i="1" s="1"/>
  <c r="C4" i="10" s="1"/>
  <c r="G627" i="1"/>
  <c r="F468" i="1"/>
  <c r="G51" i="1"/>
  <c r="D48" i="2"/>
  <c r="D50" i="2" s="1"/>
  <c r="D51" i="2" s="1"/>
  <c r="C104" i="2"/>
  <c r="C51" i="2"/>
  <c r="G631" i="1"/>
  <c r="J631" i="1" s="1"/>
  <c r="J646" i="1"/>
  <c r="G193" i="1"/>
  <c r="G626" i="1"/>
  <c r="J626" i="1" s="1"/>
  <c r="J52" i="1"/>
  <c r="H621" i="1" s="1"/>
  <c r="J621" i="1" s="1"/>
  <c r="C38" i="10"/>
  <c r="H474" i="1" l="1"/>
  <c r="H633" i="1"/>
  <c r="J633" i="1" s="1"/>
  <c r="H470" i="1"/>
  <c r="H629" i="1"/>
  <c r="J629" i="1" s="1"/>
  <c r="G628" i="1"/>
  <c r="G468" i="1"/>
  <c r="C121" i="2"/>
  <c r="C128" i="2" s="1"/>
  <c r="C18" i="10"/>
  <c r="D12" i="13"/>
  <c r="C12" i="13" s="1"/>
  <c r="L247" i="1"/>
  <c r="F667" i="1"/>
  <c r="F470" i="1"/>
  <c r="H627" i="1"/>
  <c r="J627" i="1"/>
  <c r="G623" i="1"/>
  <c r="G52" i="1"/>
  <c r="H618" i="1" s="1"/>
  <c r="J618" i="1" s="1"/>
  <c r="C41" i="10"/>
  <c r="D38" i="10" s="1"/>
  <c r="H476" i="1" l="1"/>
  <c r="H624" i="1" s="1"/>
  <c r="J624" i="1" s="1"/>
  <c r="H628" i="1"/>
  <c r="J628" i="1" s="1"/>
  <c r="G470" i="1"/>
  <c r="G476" i="1" s="1"/>
  <c r="H623" i="1" s="1"/>
  <c r="J623" i="1" s="1"/>
  <c r="H660" i="1"/>
  <c r="D37" i="10"/>
  <c r="D36" i="10"/>
  <c r="D35" i="10"/>
  <c r="D40" i="10"/>
  <c r="D39" i="10"/>
  <c r="H664" i="1" l="1"/>
  <c r="I660" i="1"/>
  <c r="I664" i="1" s="1"/>
  <c r="F17" i="13"/>
  <c r="F33" i="13" s="1"/>
  <c r="J256" i="1"/>
  <c r="L251" i="1"/>
  <c r="D41" i="10"/>
  <c r="D17" i="13" l="1"/>
  <c r="C24" i="10"/>
  <c r="C28" i="10" s="1"/>
  <c r="D24" i="10" s="1"/>
  <c r="C114" i="2"/>
  <c r="C115" i="2" s="1"/>
  <c r="C145" i="2" s="1"/>
  <c r="H667" i="1"/>
  <c r="H672" i="1"/>
  <c r="C6" i="10" s="1"/>
  <c r="L256" i="1"/>
  <c r="L257" i="1" s="1"/>
  <c r="L271" i="1" s="1"/>
  <c r="J257" i="1"/>
  <c r="I672" i="1"/>
  <c r="C7" i="10" s="1"/>
  <c r="I667" i="1"/>
  <c r="G632" i="1" l="1"/>
  <c r="F472" i="1"/>
  <c r="D22" i="10"/>
  <c r="D26" i="10"/>
  <c r="D21" i="10"/>
  <c r="D10" i="10"/>
  <c r="D12" i="10"/>
  <c r="D20" i="10"/>
  <c r="D17" i="10"/>
  <c r="D25" i="10"/>
  <c r="D16" i="10"/>
  <c r="D23" i="10"/>
  <c r="D11" i="10"/>
  <c r="D13" i="10"/>
  <c r="D19" i="10"/>
  <c r="D27" i="10"/>
  <c r="D15" i="10"/>
  <c r="D18" i="10"/>
  <c r="C30" i="10"/>
  <c r="J271" i="1"/>
  <c r="H648" i="1"/>
  <c r="D33" i="13"/>
  <c r="D36" i="13" s="1"/>
  <c r="C17" i="13"/>
  <c r="F474" i="1" l="1"/>
  <c r="F476" i="1" s="1"/>
  <c r="H622" i="1" s="1"/>
  <c r="J622" i="1" s="1"/>
  <c r="H632" i="1"/>
  <c r="J632" i="1" s="1"/>
  <c r="D28" i="10"/>
  <c r="J648" i="1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<sst xmlns="http://schemas.openxmlformats.org/spreadsheetml/2006/main" count="3957" uniqueCount="915">
  <si>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</si>
  <si>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</si>
  <si>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</si>
  <si>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</si>
  <si>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</si>
  <si>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</si>
  <si>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</si>
  <si>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</si>
  <si>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</si>
  <si>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</si>
  <si>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</si>
  <si>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</si>
  <si>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</si>
  <si>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</si>
  <si>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</si>
  <si>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</si>
  <si>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</si>
  <si>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</si>
  <si>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</si>
  <si>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</si>
  <si>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</si>
  <si>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</si>
  <si>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</si>
  <si>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</si>
  <si>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</si>
  <si>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</si>
  <si>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</si>
  <si>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</si>
  <si>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</si>
  <si>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</si>
  <si>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</si>
  <si>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</si>
  <si>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</si>
  <si>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</si>
  <si>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</si>
  <si>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</si>
  <si>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</si>
  <si>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</si>
  <si>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</si>
  <si>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</si>
  <si>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</si>
  <si>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</si>
  <si>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</si>
  <si>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</si>
  <si>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</si>
  <si>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</si>
  <si>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</si>
  <si>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</si>
  <si>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</si>
  <si>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</si>
  <si>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</si>
  <si>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</si>
  <si>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</si>
  <si>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</si>
  <si>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</si>
  <si>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</si>
  <si>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</si>
  <si>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</si>
  <si>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</si>
  <si>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</si>
  <si>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</si>
  <si>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</si>
  <si>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</si>
  <si>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</si>
  <si>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</si>
  <si>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</si>
  <si>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</si>
  <si>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</si>
  <si>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</si>
  <si>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</si>
  <si>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</si>
  <si>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</si>
  <si>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</si>
  <si>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</si>
  <si>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</si>
  <si>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</si>
  <si>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</si>
  <si>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</si>
  <si>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</si>
  <si>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</si>
  <si>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</si>
  <si>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</si>
  <si>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</si>
  <si>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</si>
  <si>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</si>
  <si>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</si>
  <si>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</si>
  <si>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</si>
  <si>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</si>
  <si>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</si>
  <si>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</si>
  <si>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</si>
  <si>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</si>
  <si>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</si>
  <si>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</si>
  <si>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</si>
  <si>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</si>
  <si>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</si>
  <si>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</si>
  <si>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</si>
  <si>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</si>
  <si>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</si>
  <si>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</si>
  <si>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</si>
  <si>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</si>
  <si>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</si>
  <si>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</si>
  <si>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</si>
  <si>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</si>
  <si>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</si>
  <si>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</si>
  <si>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</si>
  <si>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</si>
  <si>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</si>
  <si>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</si>
  <si>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</si>
  <si>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</si>
  <si>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</si>
  <si>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</si>
  <si>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</si>
  <si>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</si>
  <si>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</si>
  <si>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</si>
  <si>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</si>
  <si>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</si>
  <si>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</si>
  <si>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</si>
  <si>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</si>
  <si>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</si>
  <si>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</si>
  <si>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</si>
  <si>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</si>
  <si>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</si>
  <si>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</si>
  <si>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</si>
  <si>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</si>
  <si>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</si>
  <si>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</si>
  <si>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</si>
  <si>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</si>
  <si>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</si>
  <si>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</si>
  <si>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</si>
  <si>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</si>
  <si>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</si>
  <si>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</si>
  <si>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</si>
  <si>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</si>
  <si>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</si>
  <si>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</si>
  <si>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</si>
  <si>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</si>
  <si>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</si>
  <si>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</si>
  <si>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</si>
  <si>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</si>
  <si>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</si>
  <si>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</si>
  <si>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</si>
  <si>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</si>
  <si>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</si>
  <si>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</si>
  <si>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</si>
  <si>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</si>
  <si>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</si>
  <si>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</si>
  <si>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</si>
  <si>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</si>
  <si>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</si>
  <si>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</si>
  <si>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</si>
  <si>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</si>
  <si>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</si>
  <si>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</si>
  <si>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</si>
  <si>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</si>
  <si>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</si>
  <si>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</si>
  <si>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</si>
  <si>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</si>
  <si>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</si>
  <si>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</si>
  <si>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</si>
  <si>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</si>
  <si>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</si>
  <si>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</si>
  <si>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</si>
  <si>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</si>
  <si>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</si>
  <si>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</si>
  <si>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</si>
  <si>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</si>
  <si>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</si>
  <si>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</si>
  <si>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</si>
  <si>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</si>
  <si>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</si>
  <si>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</si>
  <si>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</si>
  <si>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</si>
  <si>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</si>
  <si>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</si>
  <si>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</si>
  <si>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</si>
  <si>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</si>
  <si>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</si>
  <si>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</si>
  <si>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</si>
  <si>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</si>
  <si>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</si>
  <si>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</si>
  <si>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</si>
  <si>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</si>
  <si>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</si>
  <si>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</si>
  <si>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</si>
  <si>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</si>
  <si>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</si>
  <si>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</si>
  <si>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</si>
  <si>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</si>
  <si>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</si>
  <si>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</si>
  <si>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</si>
  <si>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</si>
  <si>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</si>
  <si>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</si>
  <si>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</si>
  <si>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</si>
  <si>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</si>
  <si>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</si>
  <si>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</si>
  <si>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</si>
  <si>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</si>
  <si>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</si>
  <si>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</si>
  <si>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</si>
  <si>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</si>
  <si>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</si>
  <si>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</si>
  <si>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</si>
  <si>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</si>
  <si>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</si>
  <si>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</si>
  <si>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</si>
  <si>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</si>
  <si>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</si>
  <si>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</si>
  <si>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</si>
  <si>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</si>
  <si>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</si>
  <si>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</si>
  <si>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</si>
  <si>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</si>
  <si>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</si>
  <si>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</si>
  <si>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</si>
  <si>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</si>
  <si>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</si>
  <si>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</si>
  <si>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</si>
  <si>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</si>
  <si>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</si>
  <si>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</si>
  <si>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</si>
  <si>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</si>
  <si>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</si>
  <si>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</si>
  <si>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</si>
  <si>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</si>
  <si>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</si>
  <si>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</si>
  <si>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</si>
  <si>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</si>
  <si>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</si>
  <si>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</si>
  <si>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</si>
  <si>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</si>
  <si>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</si>
  <si>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</si>
  <si>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</si>
  <si>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</si>
  <si>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</si>
  <si>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</si>
  <si>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</si>
  <si>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</si>
  <si>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</si>
  <si>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</si>
  <si>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</si>
  <si>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</si>
  <si>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</si>
  <si>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</si>
  <si>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</si>
  <si>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</si>
  <si>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</si>
  <si>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</si>
  <si>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</si>
  <si>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</si>
  <si>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</si>
  <si>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</si>
  <si>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</si>
  <si>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</si>
  <si>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</si>
  <si>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</si>
  <si>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</si>
  <si>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</si>
  <si>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</si>
  <si>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</si>
  <si>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</si>
  <si>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</si>
  <si>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</si>
  <si>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</si>
  <si>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</si>
  <si>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</si>
  <si>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</si>
  <si>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</si>
  <si>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</si>
  <si>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</si>
  <si>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</si>
  <si>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</si>
  <si>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</si>
  <si>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</si>
  <si>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</si>
  <si>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</si>
  <si>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</si>
  <si>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</si>
  <si>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</si>
  <si>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</si>
  <si>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</si>
  <si>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</si>
  <si>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</si>
  <si>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</si>
  <si>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</si>
  <si>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</si>
  <si>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</si>
  <si>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</si>
  <si>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</si>
  <si>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</si>
  <si>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</si>
  <si>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</si>
  <si>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</si>
  <si>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</si>
  <si>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</si>
  <si>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</si>
  <si>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</si>
  <si>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</si>
  <si>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</si>
  <si>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</si>
  <si>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</si>
  <si>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</si>
  <si>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</si>
  <si>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</si>
  <si>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</si>
  <si>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</si>
  <si>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</si>
  <si>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</si>
  <si>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</si>
  <si>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</si>
  <si>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</si>
  <si>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</si>
  <si>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</si>
  <si>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</si>
  <si>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</si>
  <si>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</si>
  <si>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</si>
  <si>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</si>
  <si>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</si>
  <si>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</si>
  <si>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</si>
  <si>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</si>
  <si>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</si>
  <si>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</si>
  <si>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</si>
  <si>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</si>
  <si>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</si>
  <si>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</si>
  <si>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</si>
  <si>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</si>
  <si>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</si>
  <si>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</si>
  <si>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</si>
  <si>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</si>
  <si>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</si>
  <si>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</si>
  <si>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</si>
  <si>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</si>
  <si>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</si>
  <si>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</si>
  <si>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</si>
  <si>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</si>
  <si>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</si>
  <si>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</si>
  <si>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</si>
  <si>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</si>
  <si>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</si>
  <si>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</si>
  <si>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</si>
  <si>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</si>
  <si>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</si>
  <si>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</si>
  <si>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</si>
  <si>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</si>
  <si>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</si>
  <si>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</si>
  <si>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</si>
  <si>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</si>
  <si>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</si>
  <si>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</si>
  <si>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</si>
  <si>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</si>
  <si>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</si>
  <si>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</si>
  <si>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</si>
  <si>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</si>
  <si>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</si>
  <si>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</si>
  <si>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</si>
  <si>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</si>
  <si>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</si>
  <si>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</si>
  <si>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</si>
  <si>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</si>
  <si>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</si>
  <si>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</si>
  <si>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</si>
  <si>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</si>
  <si>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</si>
  <si>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</si>
  <si>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</si>
  <si>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</si>
  <si>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</si>
  <si>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</si>
  <si>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</si>
  <si>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</si>
  <si>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</si>
  <si>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</si>
  <si>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</si>
  <si>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</si>
  <si>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</si>
  <si>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</si>
  <si>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</si>
  <si>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</si>
  <si>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</si>
  <si>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</si>
  <si>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</si>
  <si>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</si>
  <si>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</si>
  <si>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</si>
  <si>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</si>
  <si>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</si>
  <si>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</si>
  <si>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</si>
  <si>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</si>
  <si>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</si>
  <si>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</si>
  <si>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</si>
  <si>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</si>
  <si>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</si>
  <si>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</si>
  <si>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</si>
  <si>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</si>
  <si>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</si>
  <si>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</si>
  <si>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</si>
  <si>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</si>
  <si>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</si>
  <si>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</si>
  <si>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</si>
  <si>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</si>
  <si>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</si>
  <si>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</si>
  <si>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</si>
  <si>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</si>
  <si>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</si>
  <si>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</si>
  <si>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</si>
  <si>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</si>
  <si>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</si>
  <si>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</si>
  <si>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</si>
  <si>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</si>
  <si>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</si>
  <si>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</si>
  <si>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</si>
  <si>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</si>
  <si>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</si>
  <si>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</si>
  <si>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</si>
  <si>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</si>
  <si>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</si>
  <si>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</si>
  <si>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</si>
  <si>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</si>
  <si>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</si>
  <si>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</si>
  <si>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</si>
  <si>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</si>
  <si>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</si>
  <si>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</si>
  <si>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</si>
  <si>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</si>
  <si>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</si>
  <si>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</si>
  <si>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</si>
  <si>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</si>
  <si>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</si>
  <si>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</si>
  <si>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</si>
  <si>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</si>
  <si>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</si>
  <si>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</si>
  <si>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</si>
  <si>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</si>
  <si>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</si>
  <si>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</si>
  <si>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</si>
  <si>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</si>
  <si>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</si>
  <si>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</si>
  <si>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</si>
  <si>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</si>
  <si>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</si>
  <si>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</si>
  <si>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</si>
  <si>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</si>
  <si>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</si>
  <si>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</si>
  <si>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</si>
  <si>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</si>
  <si>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</si>
  <si>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</si>
  <si>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</si>
  <si>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</si>
  <si>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</si>
  <si>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</si>
  <si>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</si>
  <si>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</si>
  <si>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</si>
  <si>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</si>
  <si>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</si>
  <si>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</si>
  <si>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</si>
  <si>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</si>
  <si>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</si>
  <si>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</si>
  <si>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</si>
  <si>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</si>
  <si>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</si>
  <si>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</si>
  <si>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</si>
  <si>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</si>
  <si>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</si>
  <si>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</si>
  <si>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</si>
  <si>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</si>
  <si>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</si>
  <si>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</si>
  <si>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</si>
  <si>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</si>
  <si>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</si>
  <si>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</si>
  <si>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</si>
  <si>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</si>
  <si>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</si>
  <si>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</si>
  <si>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</si>
  <si>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</si>
  <si>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</si>
  <si>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</si>
  <si>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</si>
  <si>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</si>
  <si>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</si>
  <si>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</si>
  <si>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</si>
  <si>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</si>
  <si>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</si>
  <si>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</si>
  <si>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</si>
  <si>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</si>
  <si>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</si>
  <si>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</si>
  <si>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</si>
  <si>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</si>
  <si>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</si>
  <si>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</si>
  <si>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</si>
  <si>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</si>
  <si>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</si>
  <si>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</si>
  <si>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</si>
  <si>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</si>
  <si>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</si>
  <si>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</si>
  <si>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</si>
  <si>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</si>
  <si>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</si>
  <si>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</si>
  <si>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</si>
  <si>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</si>
  <si>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</si>
  <si>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</si>
  <si>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</si>
  <si>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</si>
  <si>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</si>
  <si>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</si>
  <si>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</si>
  <si>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</si>
  <si>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</si>
  <si>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</si>
  <si>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</si>
  <si>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</si>
  <si>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</si>
  <si>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</si>
  <si>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</si>
  <si>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</si>
  <si>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</si>
  <si>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</si>
  <si>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</si>
  <si>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</si>
  <si>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</si>
  <si>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</si>
  <si>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</si>
  <si>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</si>
  <si>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</si>
  <si>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</si>
  <si>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</si>
  <si>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</si>
  <si>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</si>
  <si>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</si>
  <si>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</si>
  <si>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</si>
  <si>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</si>
  <si>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</si>
  <si>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</si>
  <si>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</si>
  <si>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</si>
  <si>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</si>
  <si>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</si>
  <si>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</si>
  <si>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</si>
  <si>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</si>
  <si>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</si>
  <si>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</si>
  <si>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</si>
  <si>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</si>
  <si>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</si>
  <si>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</si>
  <si>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</si>
  <si>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</si>
  <si>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</si>
  <si>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</si>
  <si>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</si>
  <si>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</si>
  <si>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</si>
  <si>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</si>
  <si>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</si>
  <si>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</si>
  <si>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</si>
  <si>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</si>
  <si>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</si>
  <si>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</si>
  <si>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</si>
  <si>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</si>
  <si>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</si>
  <si>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</si>
  <si>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</si>
  <si>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</si>
  <si>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</si>
  <si>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</si>
  <si>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</si>
  <si>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</si>
  <si>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</si>
  <si>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</si>
  <si>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</si>
  <si>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</si>
  <si>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</si>
  <si>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</si>
  <si>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</si>
  <si>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</si>
  <si>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</si>
  <si>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</si>
  <si>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</si>
  <si>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</si>
  <si>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</si>
  <si>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</si>
  <si>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</si>
  <si>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</si>
  <si>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</si>
  <si>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</si>
  <si>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</si>
  <si>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</si>
  <si>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</si>
  <si>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</si>
  <si>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</si>
  <si>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</si>
  <si>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</si>
  <si>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</si>
  <si>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</si>
  <si>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</si>
  <si>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</si>
  <si>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</si>
  <si>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</si>
  <si>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</si>
  <si>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</si>
  <si>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</si>
  <si>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</si>
  <si>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</si>
  <si>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</si>
  <si>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</si>
  <si>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</si>
  <si>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</si>
  <si>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</si>
  <si>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</si>
  <si>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</si>
  <si>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</si>
  <si>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</si>
  <si>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</si>
  <si>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</si>
  <si>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</si>
  <si>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</si>
  <si>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</si>
  <si>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</si>
  <si>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</si>
  <si>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</si>
  <si>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</si>
  <si>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</si>
  <si>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</si>
  <si>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</si>
  <si>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</si>
  <si>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</si>
  <si>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</si>
  <si>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</si>
  <si>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</si>
  <si>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</si>
  <si>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</si>
  <si>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</si>
  <si>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</si>
  <si>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</si>
  <si>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</si>
  <si>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</si>
  <si>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</si>
  <si>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</si>
  <si>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</si>
  <si>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</si>
  <si>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</si>
  <si>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</si>
  <si>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</si>
  <si>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</si>
  <si>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</si>
  <si>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</si>
  <si>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</si>
  <si>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</si>
  <si>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</si>
  <si>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</si>
  <si>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</si>
  <si>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</si>
  <si>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</si>
  <si>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</si>
  <si>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</si>
  <si>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</si>
  <si>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</si>
  <si>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</si>
  <si>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</si>
  <si>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</si>
  <si>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</si>
  <si>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</si>
  <si>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</si>
  <si>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</si>
  <si>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</si>
  <si>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</si>
  <si>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</si>
  <si>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</si>
  <si>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</si>
  <si>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</si>
  <si>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</si>
  <si>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</si>
  <si>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</si>
  <si>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</si>
  <si>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</si>
  <si>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</si>
  <si>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</si>
  <si>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</si>
  <si>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</si>
  <si>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</si>
  <si>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</si>
  <si>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</si>
  <si>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</si>
  <si>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</si>
  <si>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</si>
  <si>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</si>
  <si>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</si>
  <si>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</si>
  <si>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</si>
  <si>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</si>
  <si>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</si>
  <si>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</si>
  <si>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</si>
  <si>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</si>
  <si>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</si>
  <si>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</si>
  <si>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</si>
  <si>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</si>
  <si>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</si>
  <si>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</si>
  <si>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</si>
  <si>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</si>
  <si>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</si>
  <si>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</si>
  <si>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</si>
  <si>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</si>
  <si>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</si>
  <si>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</si>
  <si>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</si>
  <si>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</si>
  <si>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</si>
  <si>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</si>
  <si>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</si>
  <si>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</si>
  <si>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</si>
  <si>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</si>
  <si>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</si>
  <si>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</si>
  <si>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</si>
  <si>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</si>
  <si>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</si>
  <si>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</si>
  <si>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</si>
  <si>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</si>
  <si>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</si>
  <si>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</si>
  <si>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</si>
  <si>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</si>
  <si>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</si>
  <si>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</si>
  <si>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</si>
  <si>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</si>
  <si>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</si>
  <si>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</si>
  <si>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</si>
  <si>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</si>
  <si>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</si>
  <si>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</si>
  <si>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</si>
  <si>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</si>
  <si>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</si>
  <si>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</si>
  <si>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</si>
  <si>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</si>
  <si>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</si>
  <si>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</si>
  <si>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</si>
  <si>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</si>
  <si>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</si>
  <si>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</si>
  <si>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</si>
  <si>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</si>
  <si>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</si>
  <si>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</si>
  <si>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</si>
  <si>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</si>
  <si>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</si>
  <si>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</si>
  <si>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</si>
  <si>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</si>
  <si>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</si>
  <si>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</si>
  <si>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</si>
  <si>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</si>
  <si>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</si>
  <si>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</si>
  <si>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</si>
  <si>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</si>
  <si>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</si>
  <si>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</si>
  <si>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</si>
  <si>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</si>
  <si>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</si>
  <si>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</si>
  <si>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</si>
  <si>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</si>
  <si>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</si>
  <si>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</si>
  <si>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</si>
  <si>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</si>
  <si>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</si>
  <si>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</si>
  <si>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</si>
  <si>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</si>
  <si>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</si>
  <si>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</si>
  <si>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</si>
  <si>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</si>
  <si>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</si>
  <si>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</si>
  <si>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</si>
  <si>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</si>
  <si>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</si>
  <si>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</si>
  <si>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</si>
  <si>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</si>
  <si>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</si>
  <si>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</si>
  <si>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</si>
  <si>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</si>
  <si>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</si>
  <si>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</si>
  <si>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</si>
  <si>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</si>
  <si>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</si>
  <si>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</si>
  <si>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</si>
  <si>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</si>
  <si>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Grantham School District</t>
  </si>
  <si>
    <t>12/08</t>
  </si>
  <si>
    <t>1/29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</si>
</sst>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514" activePane="bottomRight" state="frozen"/>
      <selection pane="topRight" activeCell="F1" sqref="F1"/>
      <selection pane="bottomLeft" activeCell="A4" sqref="A4"/>
      <selection pane="bottomRight" activeCell="H523" sqref="H52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211</v>
      </c>
      <c r="C2" s="21">
        <v>211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706451-100+2</f>
        <v>706353</v>
      </c>
      <c r="G9" s="18"/>
      <c r="H9" s="18"/>
      <c r="I9" s="18"/>
      <c r="J9" s="67">
        <f>SUM(I439)</f>
        <v>586543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9600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f>585</f>
        <v>585</v>
      </c>
      <c r="H13" s="18">
        <f>-502+1287</f>
        <v>785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>
        <f>20153</f>
        <v>20153</v>
      </c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706353</v>
      </c>
      <c r="G19" s="41">
        <f>SUM(G9:G18)</f>
        <v>10185</v>
      </c>
      <c r="H19" s="41">
        <f>SUM(H9:H18)</f>
        <v>20938</v>
      </c>
      <c r="I19" s="41">
        <f>SUM(I9:I18)</f>
        <v>0</v>
      </c>
      <c r="J19" s="41">
        <f>SUM(J9:J18)</f>
        <v>586543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9600-17507</f>
        <v>-7907</v>
      </c>
      <c r="G22" s="18">
        <f>9751</f>
        <v>9751</v>
      </c>
      <c r="H22" s="18">
        <v>-12499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933</v>
      </c>
      <c r="G24" s="18">
        <v>403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-(4988+292+118-99+54)</f>
        <v>-5353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208108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f>29973+20153</f>
        <v>50126</v>
      </c>
      <c r="G31" s="18"/>
      <c r="H31" s="18">
        <v>-1112</v>
      </c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245907</v>
      </c>
      <c r="G32" s="41">
        <f>SUM(G22:G31)</f>
        <v>10154</v>
      </c>
      <c r="H32" s="41">
        <f>SUM(H22:H31)</f>
        <v>-13611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31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f>-5790+29623+19651-13452+3230+1287</f>
        <v>34549</v>
      </c>
      <c r="I48" s="18"/>
      <c r="J48" s="13">
        <f>SUM(I459)</f>
        <v>586543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116737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436426+33619-116737+1-9600</f>
        <v>343709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460446</v>
      </c>
      <c r="G51" s="41">
        <f>SUM(G35:G50)</f>
        <v>31</v>
      </c>
      <c r="H51" s="41">
        <f>SUM(H35:H50)</f>
        <v>34549</v>
      </c>
      <c r="I51" s="41">
        <f>SUM(I35:I50)</f>
        <v>0</v>
      </c>
      <c r="J51" s="41">
        <f>SUM(J35:J50)</f>
        <v>586543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706353</v>
      </c>
      <c r="G52" s="41">
        <f>G51+G32</f>
        <v>10185</v>
      </c>
      <c r="H52" s="41">
        <f>H51+H32</f>
        <v>20938</v>
      </c>
      <c r="I52" s="41">
        <f>I51+I32</f>
        <v>0</v>
      </c>
      <c r="J52" s="41">
        <f>J51+J32</f>
        <v>586543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7100000-F118+700000-208108</f>
        <v>6455289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6455289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2627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59020+43</f>
        <v>59063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36+1634+4558+48819</f>
        <v>55047</v>
      </c>
      <c r="G110" s="18"/>
      <c r="H110" s="18">
        <f>70249+1550+1287</f>
        <v>73086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57674</v>
      </c>
      <c r="G111" s="41">
        <f>SUM(G96:G110)</f>
        <v>59063</v>
      </c>
      <c r="H111" s="41">
        <f>SUM(H96:H110)</f>
        <v>73086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6512963</v>
      </c>
      <c r="G112" s="41">
        <f>G60+G111</f>
        <v>59063</v>
      </c>
      <c r="H112" s="41">
        <f>H60+H79+H94+H111</f>
        <v>73086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14833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1136603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1151436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107513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37147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905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144660</v>
      </c>
      <c r="G136" s="41">
        <f>SUM(G123:G135)</f>
        <v>905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1296096</v>
      </c>
      <c r="G140" s="41">
        <f>G121+SUM(G136:G137)</f>
        <v>905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>
        <v>21158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21158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12487+585-1669</f>
        <v>11403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32653+11652</f>
        <v>44305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8128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8128</v>
      </c>
      <c r="G162" s="41">
        <f>SUM(G150:G161)</f>
        <v>11403</v>
      </c>
      <c r="H162" s="41">
        <f>SUM(H150:H161)</f>
        <v>44305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8128</v>
      </c>
      <c r="G169" s="41">
        <f>G147+G162+SUM(G163:G168)</f>
        <v>11403</v>
      </c>
      <c r="H169" s="41">
        <f>H147+H162+SUM(H163:H168)</f>
        <v>65463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f>9600+3500</f>
        <v>13100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13100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13100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7817187</v>
      </c>
      <c r="G193" s="47">
        <f>G112+G140+G169+G192</f>
        <v>84471</v>
      </c>
      <c r="H193" s="47">
        <f>H112+H140+H169+H192</f>
        <v>138549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1043158+23219+56333+18753+2000</f>
        <v>1143463</v>
      </c>
      <c r="G197" s="18">
        <f>1690+239375+2000+15639+3775+69860+16338+1149+162774+2000+1923</f>
        <v>516523</v>
      </c>
      <c r="H197" s="18">
        <f>23369+2500+27934</f>
        <v>53803</v>
      </c>
      <c r="I197" s="18">
        <f>24004+1209+22171+2236+2431</f>
        <v>52051</v>
      </c>
      <c r="J197" s="18">
        <f>8940+22636+3205</f>
        <v>34781</v>
      </c>
      <c r="K197" s="18"/>
      <c r="L197" s="19">
        <f>SUM(F197:K197)</f>
        <v>1800621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119367+49259+8215+227818+27285+3820</f>
        <v>435764</v>
      </c>
      <c r="G198" s="18">
        <f>189751+10898+1562+27075+6332+2576+24832+1082+1000</f>
        <v>265108</v>
      </c>
      <c r="H198" s="18">
        <f>3924+7164+1335</f>
        <v>12423</v>
      </c>
      <c r="I198" s="18">
        <f>2826+63+650</f>
        <v>3539</v>
      </c>
      <c r="J198" s="18">
        <f>4963</f>
        <v>4963</v>
      </c>
      <c r="K198" s="18">
        <v>1040</v>
      </c>
      <c r="L198" s="19">
        <f>SUM(F198:K198)</f>
        <v>722837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66687+58122+69072</f>
        <v>193881</v>
      </c>
      <c r="G202" s="18">
        <f>4984+251+4444+1039+10450+50+4984+1274+220+3906+914+9108+50-2+4283+1002+10523+50</f>
        <v>57530</v>
      </c>
      <c r="H202" s="18">
        <f>14538+52823+10303</f>
        <v>77664</v>
      </c>
      <c r="I202" s="18">
        <f>306+2564+501+782</f>
        <v>4153</v>
      </c>
      <c r="J202" s="18">
        <f>413</f>
        <v>413</v>
      </c>
      <c r="K202" s="18">
        <f>150</f>
        <v>150</v>
      </c>
      <c r="L202" s="19">
        <f t="shared" ref="L202:L208" si="0">SUM(F202:K202)</f>
        <v>333791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22692+79857</f>
        <v>102549</v>
      </c>
      <c r="G203" s="18">
        <f>12793+4340+1404+328+50+55+7383+360+300+4879+1141+8920+75</f>
        <v>42028</v>
      </c>
      <c r="H203" s="18">
        <f>2254+600+3189+800+14502+1714</f>
        <v>23059</v>
      </c>
      <c r="I203" s="18">
        <f>1145+799+6669+1341+1605</f>
        <v>11559</v>
      </c>
      <c r="J203" s="18">
        <f>681+2517+48588</f>
        <v>51786</v>
      </c>
      <c r="K203" s="18"/>
      <c r="L203" s="19">
        <f t="shared" si="0"/>
        <v>230981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2800+150179+29202</f>
        <v>182181</v>
      </c>
      <c r="G204" s="18">
        <f>169+40+100+19997+1274+216+10779+2521+10392+250+100</f>
        <v>45838</v>
      </c>
      <c r="H204" s="18">
        <f>90+6916+11400+5446+2124+361+5264+4013+164+580+2897+896</f>
        <v>40151</v>
      </c>
      <c r="I204" s="18">
        <f>1011+821+2892+1699</f>
        <v>6423</v>
      </c>
      <c r="J204" s="18"/>
      <c r="K204" s="18">
        <f>3202+1417</f>
        <v>4619</v>
      </c>
      <c r="L204" s="19">
        <f t="shared" si="0"/>
        <v>279212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146188</f>
        <v>146188</v>
      </c>
      <c r="G205" s="18">
        <f>59805+3822+651+8625+2017+6120+14321+310+250+100</f>
        <v>96021</v>
      </c>
      <c r="H205" s="18">
        <f>3839+7281+6533+3746+655+278</f>
        <v>22332</v>
      </c>
      <c r="I205" s="18">
        <f>2489+3359</f>
        <v>5848</v>
      </c>
      <c r="J205" s="18"/>
      <c r="K205" s="18">
        <f>640</f>
        <v>640</v>
      </c>
      <c r="L205" s="19">
        <f t="shared" si="0"/>
        <v>271029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115263+62498</f>
        <v>177761</v>
      </c>
      <c r="G207" s="18">
        <f>41366+1944+632+10612+2482+16674+200+443</f>
        <v>74353</v>
      </c>
      <c r="H207" s="18">
        <f>6494+47149+108+2880+12281</f>
        <v>68912</v>
      </c>
      <c r="I207" s="18">
        <f>22577+26755+41233+229</f>
        <v>90794</v>
      </c>
      <c r="J207" s="18">
        <f>776+10875</f>
        <v>11651</v>
      </c>
      <c r="K207" s="18"/>
      <c r="L207" s="19">
        <f t="shared" si="0"/>
        <v>423471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205783-62558-30867</f>
        <v>112358</v>
      </c>
      <c r="I208" s="18"/>
      <c r="J208" s="18"/>
      <c r="K208" s="18"/>
      <c r="L208" s="19">
        <f t="shared" si="0"/>
        <v>112358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2460</v>
      </c>
      <c r="I209" s="18"/>
      <c r="J209" s="18"/>
      <c r="K209" s="18"/>
      <c r="L209" s="19">
        <f>SUM(F209:K209)</f>
        <v>2460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2381787</v>
      </c>
      <c r="G211" s="41">
        <f t="shared" si="1"/>
        <v>1097401</v>
      </c>
      <c r="H211" s="41">
        <f t="shared" si="1"/>
        <v>413162</v>
      </c>
      <c r="I211" s="41">
        <f t="shared" si="1"/>
        <v>174367</v>
      </c>
      <c r="J211" s="41">
        <f t="shared" si="1"/>
        <v>103594</v>
      </c>
      <c r="K211" s="41">
        <f t="shared" si="1"/>
        <v>6449</v>
      </c>
      <c r="L211" s="41">
        <f t="shared" si="1"/>
        <v>4176760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984363</v>
      </c>
      <c r="I215" s="18"/>
      <c r="J215" s="18"/>
      <c r="K215" s="18"/>
      <c r="L215" s="19">
        <f>SUM(F215:K215)</f>
        <v>984363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30867</v>
      </c>
      <c r="I226" s="18"/>
      <c r="J226" s="18"/>
      <c r="K226" s="18"/>
      <c r="L226" s="19">
        <f t="shared" si="2"/>
        <v>30867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1015230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1015230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1802263</f>
        <v>1802263</v>
      </c>
      <c r="I233" s="18"/>
      <c r="J233" s="18"/>
      <c r="K233" s="18"/>
      <c r="L233" s="19">
        <f>SUM(F233:K233)</f>
        <v>1802263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79303</f>
        <v>79303</v>
      </c>
      <c r="I234" s="18"/>
      <c r="J234" s="18"/>
      <c r="K234" s="18"/>
      <c r="L234" s="19">
        <f>SUM(F234:K234)</f>
        <v>79303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49467+62558</f>
        <v>112025</v>
      </c>
      <c r="I244" s="18"/>
      <c r="J244" s="18"/>
      <c r="K244" s="18"/>
      <c r="L244" s="19">
        <f t="shared" si="4"/>
        <v>112025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1993591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1993591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2381787</v>
      </c>
      <c r="G257" s="41">
        <f t="shared" si="8"/>
        <v>1097401</v>
      </c>
      <c r="H257" s="41">
        <f t="shared" si="8"/>
        <v>3421983</v>
      </c>
      <c r="I257" s="41">
        <f t="shared" si="8"/>
        <v>174367</v>
      </c>
      <c r="J257" s="41">
        <f t="shared" si="8"/>
        <v>103594</v>
      </c>
      <c r="K257" s="41">
        <f t="shared" si="8"/>
        <v>6449</v>
      </c>
      <c r="L257" s="41">
        <f t="shared" si="8"/>
        <v>7185581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355000</v>
      </c>
      <c r="L260" s="19">
        <f>SUM(F260:K260)</f>
        <v>355000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259742</v>
      </c>
      <c r="L261" s="19">
        <f>SUM(F261:K261)</f>
        <v>259742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9600+3500</f>
        <v>13100</v>
      </c>
      <c r="L263" s="19">
        <f>SUM(F263:K263)</f>
        <v>13100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627842</v>
      </c>
      <c r="L270" s="41">
        <f t="shared" si="9"/>
        <v>627842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2381787</v>
      </c>
      <c r="G271" s="42">
        <f t="shared" si="11"/>
        <v>1097401</v>
      </c>
      <c r="H271" s="42">
        <f t="shared" si="11"/>
        <v>3421983</v>
      </c>
      <c r="I271" s="42">
        <f t="shared" si="11"/>
        <v>174367</v>
      </c>
      <c r="J271" s="42">
        <f t="shared" si="11"/>
        <v>103594</v>
      </c>
      <c r="K271" s="42">
        <f t="shared" si="11"/>
        <v>634291</v>
      </c>
      <c r="L271" s="42">
        <f t="shared" si="11"/>
        <v>7813423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>
        <v>597</v>
      </c>
      <c r="I276" s="18">
        <f>118+1563</f>
        <v>1681</v>
      </c>
      <c r="J276" s="18">
        <v>21158</v>
      </c>
      <c r="K276" s="18"/>
      <c r="L276" s="19">
        <f>SUM(F276:K276)</f>
        <v>23436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30000</v>
      </c>
      <c r="G277" s="18"/>
      <c r="H277" s="18">
        <f>2973+150</f>
        <v>3123</v>
      </c>
      <c r="I277" s="18">
        <v>78</v>
      </c>
      <c r="J277" s="18">
        <v>436</v>
      </c>
      <c r="K277" s="18"/>
      <c r="L277" s="19">
        <f>SUM(F277:K277)</f>
        <v>33637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466</v>
      </c>
      <c r="G282" s="18">
        <f>27+7+73</f>
        <v>107</v>
      </c>
      <c r="H282" s="18"/>
      <c r="I282" s="18"/>
      <c r="J282" s="18"/>
      <c r="K282" s="18"/>
      <c r="L282" s="19">
        <f t="shared" si="12"/>
        <v>573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30466</v>
      </c>
      <c r="G290" s="42">
        <f t="shared" si="13"/>
        <v>107</v>
      </c>
      <c r="H290" s="42">
        <f t="shared" si="13"/>
        <v>3720</v>
      </c>
      <c r="I290" s="42">
        <f t="shared" si="13"/>
        <v>1759</v>
      </c>
      <c r="J290" s="42">
        <f t="shared" si="13"/>
        <v>21594</v>
      </c>
      <c r="K290" s="42">
        <f t="shared" si="13"/>
        <v>0</v>
      </c>
      <c r="L290" s="41">
        <f t="shared" si="13"/>
        <v>57646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f>17770+25528</f>
        <v>43298</v>
      </c>
      <c r="G332" s="18">
        <f>2660+622+467+81</f>
        <v>3830</v>
      </c>
      <c r="H332" s="18"/>
      <c r="I332" s="18">
        <f>1369+1831</f>
        <v>3200</v>
      </c>
      <c r="J332" s="18">
        <v>270</v>
      </c>
      <c r="K332" s="18"/>
      <c r="L332" s="19">
        <f t="shared" ref="L332:L337" si="18">SUM(F332:K332)</f>
        <v>50598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43298</v>
      </c>
      <c r="G337" s="41">
        <f t="shared" si="19"/>
        <v>3830</v>
      </c>
      <c r="H337" s="41">
        <f t="shared" si="19"/>
        <v>0</v>
      </c>
      <c r="I337" s="41">
        <f t="shared" si="19"/>
        <v>3200</v>
      </c>
      <c r="J337" s="41">
        <f t="shared" si="19"/>
        <v>270</v>
      </c>
      <c r="K337" s="41">
        <f t="shared" si="19"/>
        <v>0</v>
      </c>
      <c r="L337" s="41">
        <f t="shared" si="18"/>
        <v>50598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73764</v>
      </c>
      <c r="G338" s="41">
        <f t="shared" si="20"/>
        <v>3937</v>
      </c>
      <c r="H338" s="41">
        <f t="shared" si="20"/>
        <v>3720</v>
      </c>
      <c r="I338" s="41">
        <f t="shared" si="20"/>
        <v>4959</v>
      </c>
      <c r="J338" s="41">
        <f t="shared" si="20"/>
        <v>21864</v>
      </c>
      <c r="K338" s="41">
        <f t="shared" si="20"/>
        <v>0</v>
      </c>
      <c r="L338" s="41">
        <f t="shared" si="20"/>
        <v>108244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73764</v>
      </c>
      <c r="G352" s="41">
        <f>G338</f>
        <v>3937</v>
      </c>
      <c r="H352" s="41">
        <f>H338</f>
        <v>3720</v>
      </c>
      <c r="I352" s="41">
        <f>I338</f>
        <v>4959</v>
      </c>
      <c r="J352" s="41">
        <f>J338</f>
        <v>21864</v>
      </c>
      <c r="K352" s="47">
        <f>K338+K351</f>
        <v>0</v>
      </c>
      <c r="L352" s="41">
        <f>L338+L351</f>
        <v>108244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40258</v>
      </c>
      <c r="G358" s="18">
        <f>14766+695+89+2370+554+83+180</f>
        <v>18737</v>
      </c>
      <c r="H358" s="18"/>
      <c r="I358" s="18">
        <f>975+30518</f>
        <v>31493</v>
      </c>
      <c r="J358" s="18"/>
      <c r="K358" s="18"/>
      <c r="L358" s="13">
        <f>SUM(F358:K358)</f>
        <v>90488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40258</v>
      </c>
      <c r="G362" s="47">
        <f t="shared" si="22"/>
        <v>18737</v>
      </c>
      <c r="H362" s="47">
        <f t="shared" si="22"/>
        <v>0</v>
      </c>
      <c r="I362" s="47">
        <f t="shared" si="22"/>
        <v>31493</v>
      </c>
      <c r="J362" s="47">
        <f t="shared" si="22"/>
        <v>0</v>
      </c>
      <c r="K362" s="47">
        <f t="shared" si="22"/>
        <v>0</v>
      </c>
      <c r="L362" s="47">
        <f t="shared" si="22"/>
        <v>90488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30518</f>
        <v>30518</v>
      </c>
      <c r="G367" s="18"/>
      <c r="H367" s="18"/>
      <c r="I367" s="56">
        <f>SUM(F367:H367)</f>
        <v>30518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975</f>
        <v>975</v>
      </c>
      <c r="G368" s="63"/>
      <c r="H368" s="63"/>
      <c r="I368" s="56">
        <f>SUM(F368:H368)</f>
        <v>975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31493</v>
      </c>
      <c r="G369" s="47">
        <f>SUM(G367:G368)</f>
        <v>0</v>
      </c>
      <c r="H369" s="47">
        <f>SUM(H367:H368)</f>
        <v>0</v>
      </c>
      <c r="I369" s="47">
        <f>SUM(I367:I368)</f>
        <v>31493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586543</v>
      </c>
      <c r="H439" s="18"/>
      <c r="I439" s="56">
        <f t="shared" ref="I439:I445" si="33">SUM(F439:H439)</f>
        <v>586543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586543</v>
      </c>
      <c r="H446" s="13">
        <f>SUM(H439:H445)</f>
        <v>0</v>
      </c>
      <c r="I446" s="13">
        <f>SUM(I439:I445)</f>
        <v>586543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586543</v>
      </c>
      <c r="H459" s="18"/>
      <c r="I459" s="56">
        <f t="shared" si="34"/>
        <v>586543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586543</v>
      </c>
      <c r="H460" s="83">
        <f>SUM(H454:H459)</f>
        <v>0</v>
      </c>
      <c r="I460" s="83">
        <f>SUM(I454:I459)</f>
        <v>586543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586543</v>
      </c>
      <c r="H461" s="42">
        <f>H452+H460</f>
        <v>0</v>
      </c>
      <c r="I461" s="42">
        <f>I452+I460</f>
        <v>586543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462506</v>
      </c>
      <c r="G465" s="18">
        <v>6117</v>
      </c>
      <c r="H465" s="18">
        <v>-14555</v>
      </c>
      <c r="I465" s="18"/>
      <c r="J465" s="18">
        <v>586543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7817187</v>
      </c>
      <c r="G468" s="18">
        <f>G193</f>
        <v>84471</v>
      </c>
      <c r="H468" s="18">
        <f>H193</f>
        <v>138549</v>
      </c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>
        <v>18799</v>
      </c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7817187</v>
      </c>
      <c r="G470" s="53">
        <f>SUM(G468:G469)</f>
        <v>84471</v>
      </c>
      <c r="H470" s="53">
        <f>SUM(H468:H469)</f>
        <v>157348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7813423</v>
      </c>
      <c r="G472" s="18">
        <f>L362</f>
        <v>90488</v>
      </c>
      <c r="H472" s="18">
        <f>L352</f>
        <v>108244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5824</v>
      </c>
      <c r="G473" s="18">
        <v>69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7819247</v>
      </c>
      <c r="G474" s="53">
        <f>SUM(G472:G473)</f>
        <v>90557</v>
      </c>
      <c r="H474" s="53">
        <f>SUM(H472:H473)</f>
        <v>108244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460446</v>
      </c>
      <c r="G476" s="53">
        <f>(G465+G470)- G474</f>
        <v>31</v>
      </c>
      <c r="H476" s="53">
        <f>(H465+H470)- H474</f>
        <v>34549</v>
      </c>
      <c r="I476" s="53">
        <f>(I465+I470)- I474</f>
        <v>0</v>
      </c>
      <c r="J476" s="53">
        <f>(J465+J470)- J474</f>
        <v>586543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7150000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5.0999999999999996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4965000</v>
      </c>
      <c r="G495" s="18"/>
      <c r="H495" s="18"/>
      <c r="I495" s="18"/>
      <c r="J495" s="18"/>
      <c r="K495" s="53">
        <f>SUM(F495:J495)</f>
        <v>4965000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355000</v>
      </c>
      <c r="G497" s="18"/>
      <c r="H497" s="18"/>
      <c r="I497" s="18"/>
      <c r="J497" s="18"/>
      <c r="K497" s="53">
        <f t="shared" si="35"/>
        <v>355000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4610000</v>
      </c>
      <c r="G498" s="204"/>
      <c r="H498" s="204"/>
      <c r="I498" s="204"/>
      <c r="J498" s="204"/>
      <c r="K498" s="205">
        <f t="shared" si="35"/>
        <v>4610000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2310639-259742</f>
        <v>2050897</v>
      </c>
      <c r="G499" s="18"/>
      <c r="H499" s="18"/>
      <c r="I499" s="18"/>
      <c r="J499" s="18"/>
      <c r="K499" s="53">
        <f t="shared" si="35"/>
        <v>2050897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6660897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6660897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355000</v>
      </c>
      <c r="G501" s="204"/>
      <c r="H501" s="204"/>
      <c r="I501" s="204"/>
      <c r="J501" s="204"/>
      <c r="K501" s="205">
        <f t="shared" si="35"/>
        <v>355000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243768</v>
      </c>
      <c r="G502" s="18"/>
      <c r="H502" s="18"/>
      <c r="I502" s="18"/>
      <c r="J502" s="18"/>
      <c r="K502" s="53">
        <f t="shared" si="35"/>
        <v>243768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598768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598768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F198+F277-49259</f>
        <v>416505</v>
      </c>
      <c r="G521" s="18">
        <f>G198+G277-5911</f>
        <v>259197</v>
      </c>
      <c r="H521" s="18">
        <f>H198+H277</f>
        <v>15546</v>
      </c>
      <c r="I521" s="18">
        <f>I198+I277-500</f>
        <v>3117</v>
      </c>
      <c r="J521" s="18">
        <f>J198+J277</f>
        <v>5399</v>
      </c>
      <c r="K521" s="18">
        <f>K198+K277</f>
        <v>1040</v>
      </c>
      <c r="L521" s="88">
        <f>SUM(F521:K521)</f>
        <v>700804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79303</v>
      </c>
      <c r="I523" s="18"/>
      <c r="J523" s="18"/>
      <c r="K523" s="18"/>
      <c r="L523" s="88">
        <f>SUM(F523:K523)</f>
        <v>79303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416505</v>
      </c>
      <c r="G524" s="108">
        <f t="shared" ref="G524:L524" si="36">SUM(G521:G523)</f>
        <v>259197</v>
      </c>
      <c r="H524" s="108">
        <f t="shared" si="36"/>
        <v>94849</v>
      </c>
      <c r="I524" s="108">
        <f t="shared" si="36"/>
        <v>3117</v>
      </c>
      <c r="J524" s="108">
        <f t="shared" si="36"/>
        <v>5399</v>
      </c>
      <c r="K524" s="108">
        <f t="shared" si="36"/>
        <v>1040</v>
      </c>
      <c r="L524" s="89">
        <f t="shared" si="36"/>
        <v>780107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F202+F281-66687-58122</f>
        <v>69072</v>
      </c>
      <c r="G526" s="18">
        <f>G202+G281-4984-251-4444-1039-10450-50-4984-1274-220-3906-914-9108-50</f>
        <v>15856</v>
      </c>
      <c r="H526" s="18">
        <f>H202+H281</f>
        <v>77664</v>
      </c>
      <c r="I526" s="18">
        <f>I202+I281-2870</f>
        <v>1283</v>
      </c>
      <c r="J526" s="18">
        <v>0</v>
      </c>
      <c r="K526" s="18">
        <v>0</v>
      </c>
      <c r="L526" s="88">
        <f>SUM(F526:K526)</f>
        <v>163875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69072</v>
      </c>
      <c r="G529" s="89">
        <f t="shared" ref="G529:L529" si="37">SUM(G526:G528)</f>
        <v>15856</v>
      </c>
      <c r="H529" s="89">
        <f t="shared" si="37"/>
        <v>77664</v>
      </c>
      <c r="I529" s="89">
        <f t="shared" si="37"/>
        <v>1283</v>
      </c>
      <c r="J529" s="89">
        <f t="shared" si="37"/>
        <v>0</v>
      </c>
      <c r="K529" s="89">
        <f t="shared" si="37"/>
        <v>0</v>
      </c>
      <c r="L529" s="89">
        <f t="shared" si="37"/>
        <v>163875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49259</v>
      </c>
      <c r="G531" s="18">
        <v>5911</v>
      </c>
      <c r="H531" s="18"/>
      <c r="I531" s="18">
        <v>500</v>
      </c>
      <c r="J531" s="18"/>
      <c r="K531" s="18"/>
      <c r="L531" s="88">
        <f>SUM(F531:K531)</f>
        <v>55670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49259</v>
      </c>
      <c r="G534" s="89">
        <f t="shared" ref="G534:L534" si="38">SUM(G531:G533)</f>
        <v>5911</v>
      </c>
      <c r="H534" s="89">
        <f t="shared" si="38"/>
        <v>0</v>
      </c>
      <c r="I534" s="89">
        <f t="shared" si="38"/>
        <v>500</v>
      </c>
      <c r="J534" s="89">
        <f t="shared" si="38"/>
        <v>0</v>
      </c>
      <c r="K534" s="89">
        <f t="shared" si="38"/>
        <v>0</v>
      </c>
      <c r="L534" s="89">
        <f t="shared" si="38"/>
        <v>55670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49467</v>
      </c>
      <c r="I543" s="18"/>
      <c r="J543" s="18"/>
      <c r="K543" s="18"/>
      <c r="L543" s="88">
        <f>SUM(F543:K543)</f>
        <v>49467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49467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49467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534836</v>
      </c>
      <c r="G545" s="89">
        <f t="shared" ref="G545:L545" si="41">G524+G529+G534+G539+G544</f>
        <v>280964</v>
      </c>
      <c r="H545" s="89">
        <f t="shared" si="41"/>
        <v>221980</v>
      </c>
      <c r="I545" s="89">
        <f t="shared" si="41"/>
        <v>4900</v>
      </c>
      <c r="J545" s="89">
        <f t="shared" si="41"/>
        <v>5399</v>
      </c>
      <c r="K545" s="89">
        <f t="shared" si="41"/>
        <v>1040</v>
      </c>
      <c r="L545" s="89">
        <f t="shared" si="41"/>
        <v>1049119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700804</v>
      </c>
      <c r="G549" s="87">
        <f>L526</f>
        <v>163875</v>
      </c>
      <c r="H549" s="87">
        <f>L531</f>
        <v>55670</v>
      </c>
      <c r="I549" s="87">
        <f>L536</f>
        <v>0</v>
      </c>
      <c r="J549" s="87">
        <f>L541</f>
        <v>0</v>
      </c>
      <c r="K549" s="87">
        <f>SUM(F549:J549)</f>
        <v>920349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79303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49467</v>
      </c>
      <c r="K551" s="87">
        <f>SUM(F551:J551)</f>
        <v>128770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780107</v>
      </c>
      <c r="G552" s="89">
        <f t="shared" si="42"/>
        <v>163875</v>
      </c>
      <c r="H552" s="89">
        <f t="shared" si="42"/>
        <v>55670</v>
      </c>
      <c r="I552" s="89">
        <f t="shared" si="42"/>
        <v>0</v>
      </c>
      <c r="J552" s="89">
        <f t="shared" si="42"/>
        <v>49467</v>
      </c>
      <c r="K552" s="89">
        <f t="shared" si="42"/>
        <v>1049119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f>H215</f>
        <v>984363</v>
      </c>
      <c r="H575" s="18">
        <f>H233</f>
        <v>1802263</v>
      </c>
      <c r="I575" s="87">
        <f>SUM(F575:H575)</f>
        <v>2786626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f>H234</f>
        <v>79303</v>
      </c>
      <c r="I578" s="87">
        <f t="shared" si="47"/>
        <v>79303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H208-6755</f>
        <v>105603</v>
      </c>
      <c r="I591" s="18">
        <f>H226</f>
        <v>30867</v>
      </c>
      <c r="J591" s="18">
        <f>H244-49467</f>
        <v>62558</v>
      </c>
      <c r="K591" s="104">
        <f t="shared" ref="K591:K597" si="48">SUM(H591:J591)</f>
        <v>199028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>
        <v>49467</v>
      </c>
      <c r="K592" s="104">
        <f t="shared" si="48"/>
        <v>49467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6755</v>
      </c>
      <c r="I595" s="18"/>
      <c r="J595" s="18"/>
      <c r="K595" s="104">
        <f t="shared" si="48"/>
        <v>6755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112358</v>
      </c>
      <c r="I598" s="108">
        <f>SUM(I591:I597)</f>
        <v>30867</v>
      </c>
      <c r="J598" s="108">
        <f>SUM(J591:J597)</f>
        <v>112025</v>
      </c>
      <c r="K598" s="108">
        <f>SUM(K591:K597)</f>
        <v>255250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J211+J290+J337</f>
        <v>125458</v>
      </c>
      <c r="I604" s="18"/>
      <c r="J604" s="18"/>
      <c r="K604" s="104">
        <f>SUM(H604:J604)</f>
        <v>125458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125458</v>
      </c>
      <c r="I605" s="108">
        <f>SUM(I602:I604)</f>
        <v>0</v>
      </c>
      <c r="J605" s="108">
        <f>SUM(J602:J604)</f>
        <v>0</v>
      </c>
      <c r="K605" s="108">
        <f>SUM(K602:K604)</f>
        <v>125458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706353</v>
      </c>
      <c r="H617" s="109">
        <f>SUM(F52)</f>
        <v>706353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10185</v>
      </c>
      <c r="H618" s="109">
        <f>SUM(G52)</f>
        <v>10185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20938</v>
      </c>
      <c r="H619" s="109">
        <f>SUM(H52)</f>
        <v>20938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586543</v>
      </c>
      <c r="H621" s="109">
        <f>SUM(J52)</f>
        <v>586543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460446</v>
      </c>
      <c r="H622" s="109">
        <f>F476</f>
        <v>460446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31</v>
      </c>
      <c r="H623" s="109">
        <f>G476</f>
        <v>31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34549</v>
      </c>
      <c r="H624" s="109">
        <f>H476</f>
        <v>34549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586543</v>
      </c>
      <c r="H626" s="109">
        <f>J476</f>
        <v>586543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7817187</v>
      </c>
      <c r="H627" s="104">
        <f>SUM(F468)</f>
        <v>7817187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84471</v>
      </c>
      <c r="H628" s="104">
        <f>SUM(G468)</f>
        <v>84471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138549</v>
      </c>
      <c r="H629" s="104">
        <f>SUM(H468)</f>
        <v>138549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7813423</v>
      </c>
      <c r="H632" s="104">
        <f>SUM(F472)</f>
        <v>7813423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108244</v>
      </c>
      <c r="H633" s="104">
        <f>SUM(H472)</f>
        <v>108244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31493</v>
      </c>
      <c r="H634" s="104">
        <f>I369</f>
        <v>31493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90488</v>
      </c>
      <c r="H635" s="104">
        <f>SUM(G472)</f>
        <v>90488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586543</v>
      </c>
      <c r="H640" s="104">
        <f>SUM(G461)</f>
        <v>586543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586543</v>
      </c>
      <c r="H642" s="104">
        <f>SUM(I461)</f>
        <v>586543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255250</v>
      </c>
      <c r="H647" s="104">
        <f>L208+L226+L244</f>
        <v>255250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125458</v>
      </c>
      <c r="H648" s="104">
        <f>(J257+J338)-(J255+J336)</f>
        <v>125458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112358</v>
      </c>
      <c r="H649" s="104">
        <f>H598</f>
        <v>112358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30867</v>
      </c>
      <c r="H650" s="104">
        <f>I598</f>
        <v>30867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112025</v>
      </c>
      <c r="H651" s="104">
        <f>J598</f>
        <v>112025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13100</v>
      </c>
      <c r="H652" s="104">
        <f>K263+K345</f>
        <v>13100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4324894</v>
      </c>
      <c r="G660" s="19">
        <f>(L229+L309+L359)</f>
        <v>1015230</v>
      </c>
      <c r="H660" s="19">
        <f>(L247+L328+L360)</f>
        <v>1993591</v>
      </c>
      <c r="I660" s="19">
        <f>SUM(F660:H660)</f>
        <v>7333715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59063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59063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112358</v>
      </c>
      <c r="G662" s="19">
        <f>(L226+L306)-(J226+J306)</f>
        <v>30867</v>
      </c>
      <c r="H662" s="19">
        <f>(L244+L325)-(J244+J325)</f>
        <v>112025</v>
      </c>
      <c r="I662" s="19">
        <f>SUM(F662:H662)</f>
        <v>255250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125458</v>
      </c>
      <c r="G663" s="199">
        <f>SUM(G575:G587)+SUM(I602:I604)+L612</f>
        <v>984363</v>
      </c>
      <c r="H663" s="199">
        <f>SUM(H575:H587)+SUM(J602:J604)+L613</f>
        <v>1881566</v>
      </c>
      <c r="I663" s="19">
        <f>SUM(F663:H663)</f>
        <v>2991387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4028015</v>
      </c>
      <c r="G664" s="19">
        <f>G660-SUM(G661:G663)</f>
        <v>0</v>
      </c>
      <c r="H664" s="19">
        <f>H660-SUM(H661:H663)</f>
        <v>0</v>
      </c>
      <c r="I664" s="19">
        <f>I660-SUM(I661:I663)</f>
        <v>4028015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230.66</v>
      </c>
      <c r="G665" s="248"/>
      <c r="H665" s="248"/>
      <c r="I665" s="19">
        <f>SUM(F665:H665)</f>
        <v>230.66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17463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17463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17463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17463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F4" sqref="F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Grantham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1143463</v>
      </c>
      <c r="C9" s="229">
        <f>'DOE25'!G197+'DOE25'!G215+'DOE25'!G233+'DOE25'!G276+'DOE25'!G295+'DOE25'!G314</f>
        <v>516523</v>
      </c>
    </row>
    <row r="10" spans="1:3" x14ac:dyDescent="0.2">
      <c r="A10" t="s">
        <v>779</v>
      </c>
      <c r="B10" s="240">
        <f>1143463-56333</f>
        <v>1087130</v>
      </c>
      <c r="C10" s="240">
        <f>516523-5337</f>
        <v>511186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56333</v>
      </c>
      <c r="C12" s="240">
        <v>5337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1143463</v>
      </c>
      <c r="C13" s="231">
        <f>SUM(C10:C12)</f>
        <v>516523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465764</v>
      </c>
      <c r="C18" s="229">
        <f>'DOE25'!G198+'DOE25'!G216+'DOE25'!G234+'DOE25'!G277+'DOE25'!G296+'DOE25'!G315</f>
        <v>265108</v>
      </c>
    </row>
    <row r="19" spans="1:3" x14ac:dyDescent="0.2">
      <c r="A19" t="s">
        <v>779</v>
      </c>
      <c r="B19" s="240">
        <f>465764-227818-8215</f>
        <v>229731</v>
      </c>
      <c r="C19" s="240">
        <f>265108-146168-815</f>
        <v>118125</v>
      </c>
    </row>
    <row r="20" spans="1:3" x14ac:dyDescent="0.2">
      <c r="A20" t="s">
        <v>780</v>
      </c>
      <c r="B20" s="240">
        <v>227818</v>
      </c>
      <c r="C20" s="240">
        <v>146168</v>
      </c>
    </row>
    <row r="21" spans="1:3" x14ac:dyDescent="0.2">
      <c r="A21" t="s">
        <v>781</v>
      </c>
      <c r="B21" s="240">
        <v>8215</v>
      </c>
      <c r="C21" s="240">
        <v>815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465764</v>
      </c>
      <c r="C22" s="231">
        <f>SUM(C19:C21)</f>
        <v>265108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Grantham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5389387</v>
      </c>
      <c r="D5" s="20">
        <f>SUM('DOE25'!L197:L200)+SUM('DOE25'!L215:L218)+SUM('DOE25'!L233:L236)-F5-G5</f>
        <v>5348603</v>
      </c>
      <c r="E5" s="243"/>
      <c r="F5" s="255">
        <f>SUM('DOE25'!J197:J200)+SUM('DOE25'!J215:J218)+SUM('DOE25'!J233:J236)</f>
        <v>39744</v>
      </c>
      <c r="G5" s="53">
        <f>SUM('DOE25'!K197:K200)+SUM('DOE25'!K215:K218)+SUM('DOE25'!K233:K236)</f>
        <v>1040</v>
      </c>
      <c r="H5" s="259"/>
    </row>
    <row r="6" spans="1:9" x14ac:dyDescent="0.2">
      <c r="A6" s="32">
        <v>2100</v>
      </c>
      <c r="B6" t="s">
        <v>801</v>
      </c>
      <c r="C6" s="245">
        <f t="shared" si="0"/>
        <v>333791</v>
      </c>
      <c r="D6" s="20">
        <f>'DOE25'!L202+'DOE25'!L220+'DOE25'!L238-F6-G6</f>
        <v>333228</v>
      </c>
      <c r="E6" s="243"/>
      <c r="F6" s="255">
        <f>'DOE25'!J202+'DOE25'!J220+'DOE25'!J238</f>
        <v>413</v>
      </c>
      <c r="G6" s="53">
        <f>'DOE25'!K202+'DOE25'!K220+'DOE25'!K238</f>
        <v>150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230981</v>
      </c>
      <c r="D7" s="20">
        <f>'DOE25'!L203+'DOE25'!L221+'DOE25'!L239-F7-G7</f>
        <v>179195</v>
      </c>
      <c r="E7" s="243"/>
      <c r="F7" s="255">
        <f>'DOE25'!J203+'DOE25'!J221+'DOE25'!J239</f>
        <v>51786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101727</v>
      </c>
      <c r="D8" s="243"/>
      <c r="E8" s="20">
        <f>'DOE25'!L204+'DOE25'!L222+'DOE25'!L240-F8-G8-D9-D11</f>
        <v>97108</v>
      </c>
      <c r="F8" s="255">
        <f>'DOE25'!J204+'DOE25'!J222+'DOE25'!J240</f>
        <v>0</v>
      </c>
      <c r="G8" s="53">
        <f>'DOE25'!K204+'DOE25'!K222+'DOE25'!K240</f>
        <v>4619</v>
      </c>
      <c r="H8" s="259"/>
    </row>
    <row r="9" spans="1:9" x14ac:dyDescent="0.2">
      <c r="A9" s="32">
        <v>2310</v>
      </c>
      <c r="B9" t="s">
        <v>818</v>
      </c>
      <c r="C9" s="245">
        <f t="shared" si="0"/>
        <v>31996</v>
      </c>
      <c r="D9" s="244">
        <v>31996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11400</v>
      </c>
      <c r="D10" s="243"/>
      <c r="E10" s="244">
        <v>11400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145489</v>
      </c>
      <c r="D11" s="244">
        <f>164989-19500</f>
        <v>145489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271029</v>
      </c>
      <c r="D12" s="20">
        <f>'DOE25'!L205+'DOE25'!L223+'DOE25'!L241-F12-G12</f>
        <v>270389</v>
      </c>
      <c r="E12" s="243"/>
      <c r="F12" s="255">
        <f>'DOE25'!J205+'DOE25'!J223+'DOE25'!J241</f>
        <v>0</v>
      </c>
      <c r="G12" s="53">
        <f>'DOE25'!K205+'DOE25'!K223+'DOE25'!K241</f>
        <v>640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423471</v>
      </c>
      <c r="D14" s="20">
        <f>'DOE25'!L207+'DOE25'!L225+'DOE25'!L243-F14-G14</f>
        <v>411820</v>
      </c>
      <c r="E14" s="243"/>
      <c r="F14" s="255">
        <f>'DOE25'!J207+'DOE25'!J225+'DOE25'!J243</f>
        <v>11651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255250</v>
      </c>
      <c r="D15" s="20">
        <f>'DOE25'!L208+'DOE25'!L226+'DOE25'!L244-F15-G15</f>
        <v>255250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2460</v>
      </c>
      <c r="D16" s="243"/>
      <c r="E16" s="20">
        <f>'DOE25'!L209+'DOE25'!L227+'DOE25'!L245-F16-G16</f>
        <v>2460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614742</v>
      </c>
      <c r="D25" s="243"/>
      <c r="E25" s="243"/>
      <c r="F25" s="258"/>
      <c r="G25" s="256"/>
      <c r="H25" s="257">
        <f>'DOE25'!L260+'DOE25'!L261+'DOE25'!L341+'DOE25'!L342</f>
        <v>614742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59970</v>
      </c>
      <c r="D29" s="20">
        <f>'DOE25'!L358+'DOE25'!L359+'DOE25'!L360-'DOE25'!I367-F29-G29</f>
        <v>59970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57646</v>
      </c>
      <c r="D31" s="20">
        <f>'DOE25'!L290+'DOE25'!L309+'DOE25'!L328+'DOE25'!L333+'DOE25'!L334+'DOE25'!L335-F31-G31</f>
        <v>36052</v>
      </c>
      <c r="E31" s="243"/>
      <c r="F31" s="255">
        <f>'DOE25'!J290+'DOE25'!J309+'DOE25'!J328+'DOE25'!J333+'DOE25'!J334+'DOE25'!J335</f>
        <v>21594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7071992</v>
      </c>
      <c r="E33" s="246">
        <f>SUM(E5:E31)</f>
        <v>110968</v>
      </c>
      <c r="F33" s="246">
        <f>SUM(F5:F31)</f>
        <v>125188</v>
      </c>
      <c r="G33" s="246">
        <f>SUM(G5:G31)</f>
        <v>6449</v>
      </c>
      <c r="H33" s="246">
        <f>SUM(H5:H31)</f>
        <v>614742</v>
      </c>
    </row>
    <row r="35" spans="2:8" ht="12" thickBot="1" x14ac:dyDescent="0.25">
      <c r="B35" s="253" t="s">
        <v>847</v>
      </c>
      <c r="D35" s="254">
        <f>E33</f>
        <v>110968</v>
      </c>
      <c r="E35" s="249"/>
    </row>
    <row r="36" spans="2:8" ht="12" thickTop="1" x14ac:dyDescent="0.2">
      <c r="B36" t="s">
        <v>815</v>
      </c>
      <c r="D36" s="20">
        <f>D33</f>
        <v>7071992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Grantham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706353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586543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9600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585</v>
      </c>
      <c r="E12" s="95">
        <f>'DOE25'!H13</f>
        <v>785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20153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706353</v>
      </c>
      <c r="D18" s="41">
        <f>SUM(D8:D17)</f>
        <v>10185</v>
      </c>
      <c r="E18" s="41">
        <f>SUM(E8:E17)</f>
        <v>20938</v>
      </c>
      <c r="F18" s="41">
        <f>SUM(F8:F17)</f>
        <v>0</v>
      </c>
      <c r="G18" s="41">
        <f>SUM(G8:G17)</f>
        <v>586543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-7907</v>
      </c>
      <c r="D21" s="95">
        <f>'DOE25'!G22</f>
        <v>9751</v>
      </c>
      <c r="E21" s="95">
        <f>'DOE25'!H22</f>
        <v>-12499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933</v>
      </c>
      <c r="D23" s="95">
        <f>'DOE25'!G24</f>
        <v>403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-5353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208108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50126</v>
      </c>
      <c r="D30" s="95">
        <f>'DOE25'!G31</f>
        <v>0</v>
      </c>
      <c r="E30" s="95">
        <f>'DOE25'!H31</f>
        <v>-1112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245907</v>
      </c>
      <c r="D31" s="41">
        <f>SUM(D21:D30)</f>
        <v>10154</v>
      </c>
      <c r="E31" s="41">
        <f>SUM(E21:E30)</f>
        <v>-13611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31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34549</v>
      </c>
      <c r="F47" s="95">
        <f>'DOE25'!I48</f>
        <v>0</v>
      </c>
      <c r="G47" s="95">
        <f>'DOE25'!J48</f>
        <v>586543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116737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343709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460446</v>
      </c>
      <c r="D50" s="41">
        <f>SUM(D34:D49)</f>
        <v>31</v>
      </c>
      <c r="E50" s="41">
        <f>SUM(E34:E49)</f>
        <v>34549</v>
      </c>
      <c r="F50" s="41">
        <f>SUM(F34:F49)</f>
        <v>0</v>
      </c>
      <c r="G50" s="41">
        <f>SUM(G34:G49)</f>
        <v>586543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706353</v>
      </c>
      <c r="D51" s="41">
        <f>D50+D31</f>
        <v>10185</v>
      </c>
      <c r="E51" s="41">
        <f>E50+E31</f>
        <v>20938</v>
      </c>
      <c r="F51" s="41">
        <f>F50+F31</f>
        <v>0</v>
      </c>
      <c r="G51" s="41">
        <f>G50+G31</f>
        <v>586543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6455289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2627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59063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55047</v>
      </c>
      <c r="D61" s="95">
        <f>SUM('DOE25'!G98:G110)</f>
        <v>0</v>
      </c>
      <c r="E61" s="95">
        <f>SUM('DOE25'!H98:H110)</f>
        <v>73086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57674</v>
      </c>
      <c r="D62" s="130">
        <f>SUM(D57:D61)</f>
        <v>59063</v>
      </c>
      <c r="E62" s="130">
        <f>SUM(E57:E61)</f>
        <v>73086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6512963</v>
      </c>
      <c r="D63" s="22">
        <f>D56+D62</f>
        <v>59063</v>
      </c>
      <c r="E63" s="22">
        <f>E56+E62</f>
        <v>73086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14833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1136603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1151436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107513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37147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905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144660</v>
      </c>
      <c r="D78" s="130">
        <f>SUM(D72:D77)</f>
        <v>905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1296096</v>
      </c>
      <c r="D81" s="130">
        <f>SUM(D79:D80)+D78+D70</f>
        <v>905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21158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8128</v>
      </c>
      <c r="D88" s="95">
        <f>SUM('DOE25'!G153:G161)</f>
        <v>11403</v>
      </c>
      <c r="E88" s="95">
        <f>SUM('DOE25'!H153:H161)</f>
        <v>44305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8128</v>
      </c>
      <c r="D91" s="131">
        <f>SUM(D85:D90)</f>
        <v>11403</v>
      </c>
      <c r="E91" s="131">
        <f>SUM(E85:E90)</f>
        <v>65463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13100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13100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7817187</v>
      </c>
      <c r="D104" s="86">
        <f>D63+D81+D91+D103</f>
        <v>84471</v>
      </c>
      <c r="E104" s="86">
        <f>E63+E81+E91+E103</f>
        <v>138549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4587247</v>
      </c>
      <c r="D109" s="24" t="s">
        <v>289</v>
      </c>
      <c r="E109" s="95">
        <f>('DOE25'!L276)+('DOE25'!L295)+('DOE25'!L314)</f>
        <v>23436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802140</v>
      </c>
      <c r="D110" s="24" t="s">
        <v>289</v>
      </c>
      <c r="E110" s="95">
        <f>('DOE25'!L277)+('DOE25'!L296)+('DOE25'!L315)</f>
        <v>33637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50598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5389387</v>
      </c>
      <c r="D115" s="86">
        <f>SUM(D109:D114)</f>
        <v>0</v>
      </c>
      <c r="E115" s="86">
        <f>SUM(E109:E114)</f>
        <v>107671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333791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230981</v>
      </c>
      <c r="D119" s="24" t="s">
        <v>289</v>
      </c>
      <c r="E119" s="95">
        <f>+('DOE25'!L282)+('DOE25'!L301)+('DOE25'!L320)</f>
        <v>573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279212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271029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423471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255250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2460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90488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1796194</v>
      </c>
      <c r="D128" s="86">
        <f>SUM(D118:D127)</f>
        <v>90488</v>
      </c>
      <c r="E128" s="86">
        <f>SUM(E118:E127)</f>
        <v>573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355000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259742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13100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627842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7813423</v>
      </c>
      <c r="D145" s="86">
        <f>(D115+D128+D144)</f>
        <v>90488</v>
      </c>
      <c r="E145" s="86">
        <f>(E115+E128+E144)</f>
        <v>108244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12/08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1/29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7150000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5.0999999999999996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4965000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4965000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355000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355000</v>
      </c>
    </row>
    <row r="159" spans="1:9" x14ac:dyDescent="0.2">
      <c r="A159" s="22" t="s">
        <v>35</v>
      </c>
      <c r="B159" s="137">
        <f>'DOE25'!F498</f>
        <v>4610000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4610000</v>
      </c>
    </row>
    <row r="160" spans="1:9" x14ac:dyDescent="0.2">
      <c r="A160" s="22" t="s">
        <v>36</v>
      </c>
      <c r="B160" s="137">
        <f>'DOE25'!F499</f>
        <v>2050897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2050897</v>
      </c>
    </row>
    <row r="161" spans="1:7" x14ac:dyDescent="0.2">
      <c r="A161" s="22" t="s">
        <v>37</v>
      </c>
      <c r="B161" s="137">
        <f>'DOE25'!F500</f>
        <v>6660897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6660897</v>
      </c>
    </row>
    <row r="162" spans="1:7" x14ac:dyDescent="0.2">
      <c r="A162" s="22" t="s">
        <v>38</v>
      </c>
      <c r="B162" s="137">
        <f>'DOE25'!F501</f>
        <v>355000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355000</v>
      </c>
    </row>
    <row r="163" spans="1:7" x14ac:dyDescent="0.2">
      <c r="A163" s="22" t="s">
        <v>39</v>
      </c>
      <c r="B163" s="137">
        <f>'DOE25'!F502</f>
        <v>243768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243768</v>
      </c>
    </row>
    <row r="164" spans="1:7" x14ac:dyDescent="0.2">
      <c r="A164" s="22" t="s">
        <v>246</v>
      </c>
      <c r="B164" s="137">
        <f>'DOE25'!F503</f>
        <v>598768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598768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Grantham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17463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17463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4610683</v>
      </c>
      <c r="D10" s="182">
        <f>ROUND((C10/$C$28)*100,1)</f>
        <v>60.8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835777</v>
      </c>
      <c r="D11" s="182">
        <f>ROUND((C11/$C$28)*100,1)</f>
        <v>11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333791</v>
      </c>
      <c r="D15" s="182">
        <f t="shared" ref="D15:D27" si="0">ROUND((C15/$C$28)*100,1)</f>
        <v>4.4000000000000004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231554</v>
      </c>
      <c r="D16" s="182">
        <f t="shared" si="0"/>
        <v>3.1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281672</v>
      </c>
      <c r="D17" s="182">
        <f t="shared" si="0"/>
        <v>3.7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271029</v>
      </c>
      <c r="D18" s="182">
        <f t="shared" si="0"/>
        <v>3.6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423471</v>
      </c>
      <c r="D20" s="182">
        <f t="shared" si="0"/>
        <v>5.6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255250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50598</v>
      </c>
      <c r="D23" s="182">
        <f t="shared" si="0"/>
        <v>0.7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259742</v>
      </c>
      <c r="D25" s="182">
        <f t="shared" si="0"/>
        <v>3.4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31425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7584992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7584992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355000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6455289</v>
      </c>
      <c r="D35" s="182">
        <f t="shared" ref="D35:D40" si="1">ROUND((C35/$C$41)*100,1)</f>
        <v>81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130760</v>
      </c>
      <c r="D36" s="182">
        <f t="shared" si="1"/>
        <v>1.6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1151436</v>
      </c>
      <c r="D37" s="182">
        <f t="shared" si="1"/>
        <v>14.5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145565</v>
      </c>
      <c r="D38" s="182">
        <f t="shared" si="1"/>
        <v>1.8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84994</v>
      </c>
      <c r="D39" s="182">
        <f t="shared" si="1"/>
        <v>1.1000000000000001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7968044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Grantham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2016-09-07T16:56:03Z</cp:lastPrinted>
  <dcterms:created xsi:type="dcterms:W3CDTF">1997-12-04T19:04:30Z</dcterms:created>
  <dcterms:modified xsi:type="dcterms:W3CDTF">2016-09-21T15:14:44Z</dcterms:modified>
</cp:coreProperties>
</file>