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1870" windowHeight="567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B21" i="12" l="1"/>
  <c r="B20" i="12"/>
  <c r="B12" i="12"/>
  <c r="B10" i="12"/>
  <c r="F472" i="1"/>
  <c r="F50" i="1"/>
  <c r="H577" i="1"/>
  <c r="H575" i="1"/>
  <c r="H159" i="1" l="1"/>
  <c r="G158" i="1" l="1"/>
  <c r="F57" i="1" l="1"/>
  <c r="F63" i="1"/>
  <c r="G9" i="1" l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1" i="2"/>
  <c r="C113" i="2"/>
  <c r="E113" i="2"/>
  <c r="C114" i="2"/>
  <c r="D115" i="2"/>
  <c r="F115" i="2"/>
  <c r="G115" i="2"/>
  <c r="E119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J644" i="1" s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H461" i="1" s="1"/>
  <c r="H641" i="1" s="1"/>
  <c r="I460" i="1"/>
  <c r="I461" i="1" s="1"/>
  <c r="H642" i="1" s="1"/>
  <c r="F461" i="1"/>
  <c r="G461" i="1"/>
  <c r="F470" i="1"/>
  <c r="G470" i="1"/>
  <c r="H470" i="1"/>
  <c r="H476" i="1" s="1"/>
  <c r="H624" i="1" s="1"/>
  <c r="J624" i="1" s="1"/>
  <c r="I470" i="1"/>
  <c r="I476" i="1" s="1"/>
  <c r="H625" i="1" s="1"/>
  <c r="J470" i="1"/>
  <c r="J476" i="1" s="1"/>
  <c r="H626" i="1" s="1"/>
  <c r="F474" i="1"/>
  <c r="F476" i="1" s="1"/>
  <c r="H622" i="1" s="1"/>
  <c r="J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J639" i="1" s="1"/>
  <c r="G640" i="1"/>
  <c r="H640" i="1"/>
  <c r="G641" i="1"/>
  <c r="J641" i="1" s="1"/>
  <c r="G643" i="1"/>
  <c r="J643" i="1" s="1"/>
  <c r="H643" i="1"/>
  <c r="G644" i="1"/>
  <c r="H645" i="1"/>
  <c r="G651" i="1"/>
  <c r="J651" i="1" s="1"/>
  <c r="G652" i="1"/>
  <c r="H652" i="1"/>
  <c r="G653" i="1"/>
  <c r="H653" i="1"/>
  <c r="G654" i="1"/>
  <c r="H654" i="1"/>
  <c r="H655" i="1"/>
  <c r="F192" i="1"/>
  <c r="L328" i="1"/>
  <c r="A31" i="12"/>
  <c r="D62" i="2"/>
  <c r="D63" i="2" s="1"/>
  <c r="C78" i="2"/>
  <c r="D50" i="2"/>
  <c r="G161" i="2"/>
  <c r="D91" i="2"/>
  <c r="D19" i="13"/>
  <c r="C19" i="13" s="1"/>
  <c r="E78" i="2"/>
  <c r="H112" i="1"/>
  <c r="K605" i="1"/>
  <c r="G648" i="1" s="1"/>
  <c r="L419" i="1"/>
  <c r="I169" i="1"/>
  <c r="J140" i="1"/>
  <c r="G22" i="2"/>
  <c r="H140" i="1"/>
  <c r="J640" i="1"/>
  <c r="H192" i="1"/>
  <c r="L570" i="1"/>
  <c r="G36" i="2"/>
  <c r="G662" i="1" l="1"/>
  <c r="K598" i="1"/>
  <c r="G647" i="1" s="1"/>
  <c r="G545" i="1"/>
  <c r="H552" i="1"/>
  <c r="K550" i="1"/>
  <c r="J545" i="1"/>
  <c r="I545" i="1"/>
  <c r="G552" i="1"/>
  <c r="K545" i="1"/>
  <c r="K551" i="1"/>
  <c r="K549" i="1"/>
  <c r="F552" i="1"/>
  <c r="J645" i="1"/>
  <c r="G645" i="1"/>
  <c r="L393" i="1"/>
  <c r="C138" i="2" s="1"/>
  <c r="D127" i="2"/>
  <c r="D128" i="2" s="1"/>
  <c r="G661" i="1"/>
  <c r="D29" i="13"/>
  <c r="C29" i="13" s="1"/>
  <c r="L362" i="1"/>
  <c r="G635" i="1" s="1"/>
  <c r="J635" i="1" s="1"/>
  <c r="H661" i="1"/>
  <c r="H338" i="1"/>
  <c r="H352" i="1" s="1"/>
  <c r="E118" i="2"/>
  <c r="G338" i="1"/>
  <c r="G352" i="1" s="1"/>
  <c r="C11" i="10"/>
  <c r="L309" i="1"/>
  <c r="F338" i="1"/>
  <c r="F352" i="1" s="1"/>
  <c r="E109" i="2"/>
  <c r="E110" i="2"/>
  <c r="E115" i="2" s="1"/>
  <c r="L256" i="1"/>
  <c r="F22" i="13"/>
  <c r="C22" i="13" s="1"/>
  <c r="F257" i="1"/>
  <c r="F271" i="1" s="1"/>
  <c r="L247" i="1"/>
  <c r="K257" i="1"/>
  <c r="K271" i="1" s="1"/>
  <c r="J257" i="1"/>
  <c r="J271" i="1" s="1"/>
  <c r="C125" i="2"/>
  <c r="I257" i="1"/>
  <c r="C21" i="10"/>
  <c r="H257" i="1"/>
  <c r="H271" i="1" s="1"/>
  <c r="C121" i="2"/>
  <c r="G257" i="1"/>
  <c r="G271" i="1" s="1"/>
  <c r="C119" i="2"/>
  <c r="C118" i="2"/>
  <c r="C112" i="2"/>
  <c r="A40" i="12"/>
  <c r="C109" i="2"/>
  <c r="A13" i="12"/>
  <c r="L229" i="1"/>
  <c r="D14" i="13"/>
  <c r="C14" i="13" s="1"/>
  <c r="E16" i="13"/>
  <c r="C16" i="13" s="1"/>
  <c r="C123" i="2"/>
  <c r="D12" i="13"/>
  <c r="C12" i="13" s="1"/>
  <c r="C18" i="10"/>
  <c r="E8" i="13"/>
  <c r="C8" i="13" s="1"/>
  <c r="C17" i="10"/>
  <c r="C16" i="10"/>
  <c r="D7" i="13"/>
  <c r="C7" i="13" s="1"/>
  <c r="C20" i="10"/>
  <c r="L211" i="1"/>
  <c r="D5" i="13"/>
  <c r="C5" i="13" s="1"/>
  <c r="G62" i="2"/>
  <c r="C70" i="2"/>
  <c r="C81" i="2" s="1"/>
  <c r="C91" i="2"/>
  <c r="F112" i="1"/>
  <c r="I446" i="1"/>
  <c r="G642" i="1" s="1"/>
  <c r="D31" i="2"/>
  <c r="D51" i="2" s="1"/>
  <c r="D18" i="2"/>
  <c r="J617" i="1"/>
  <c r="C18" i="2"/>
  <c r="E128" i="2"/>
  <c r="H660" i="1"/>
  <c r="D145" i="2"/>
  <c r="E13" i="13"/>
  <c r="C13" i="13" s="1"/>
  <c r="L290" i="1"/>
  <c r="L539" i="1"/>
  <c r="K503" i="1"/>
  <c r="L382" i="1"/>
  <c r="G636" i="1" s="1"/>
  <c r="J636" i="1" s="1"/>
  <c r="K352" i="1"/>
  <c r="C62" i="2"/>
  <c r="F661" i="1"/>
  <c r="C19" i="10"/>
  <c r="C15" i="10"/>
  <c r="C10" i="10"/>
  <c r="C35" i="10"/>
  <c r="C29" i="10"/>
  <c r="D6" i="13"/>
  <c r="C6" i="13" s="1"/>
  <c r="D15" i="13"/>
  <c r="C15" i="13" s="1"/>
  <c r="G649" i="1"/>
  <c r="J649" i="1" s="1"/>
  <c r="L544" i="1"/>
  <c r="L524" i="1"/>
  <c r="J338" i="1"/>
  <c r="J352" i="1" s="1"/>
  <c r="C124" i="2"/>
  <c r="C120" i="2"/>
  <c r="C111" i="2"/>
  <c r="C56" i="2"/>
  <c r="F662" i="1"/>
  <c r="C13" i="10"/>
  <c r="I271" i="1"/>
  <c r="H25" i="13"/>
  <c r="E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I662" i="1" l="1"/>
  <c r="K552" i="1"/>
  <c r="H646" i="1"/>
  <c r="J646" i="1" s="1"/>
  <c r="C27" i="10"/>
  <c r="C28" i="10" s="1"/>
  <c r="D23" i="10" s="1"/>
  <c r="I661" i="1"/>
  <c r="H664" i="1"/>
  <c r="H672" i="1" s="1"/>
  <c r="C6" i="10" s="1"/>
  <c r="G660" i="1"/>
  <c r="G664" i="1" s="1"/>
  <c r="G672" i="1" s="1"/>
  <c r="C5" i="10" s="1"/>
  <c r="L338" i="1"/>
  <c r="L352" i="1" s="1"/>
  <c r="G633" i="1" s="1"/>
  <c r="J633" i="1" s="1"/>
  <c r="H648" i="1"/>
  <c r="J648" i="1" s="1"/>
  <c r="E145" i="2"/>
  <c r="L257" i="1"/>
  <c r="L271" i="1" s="1"/>
  <c r="G632" i="1" s="1"/>
  <c r="J632" i="1" s="1"/>
  <c r="C115" i="2"/>
  <c r="C128" i="2"/>
  <c r="F660" i="1"/>
  <c r="F664" i="1" s="1"/>
  <c r="C36" i="10"/>
  <c r="F193" i="1"/>
  <c r="G627" i="1" s="1"/>
  <c r="J627" i="1" s="1"/>
  <c r="D31" i="13"/>
  <c r="C31" i="13" s="1"/>
  <c r="E33" i="13"/>
  <c r="D35" i="13" s="1"/>
  <c r="C25" i="13"/>
  <c r="H33" i="13"/>
  <c r="C63" i="2"/>
  <c r="C104" i="2" s="1"/>
  <c r="L545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G667" i="1"/>
  <c r="D33" i="13"/>
  <c r="D36" i="13" s="1"/>
  <c r="C145" i="2"/>
  <c r="I660" i="1"/>
  <c r="I664" i="1" s="1"/>
  <c r="I672" i="1" s="1"/>
  <c r="C7" i="10" s="1"/>
  <c r="D19" i="10"/>
  <c r="D15" i="10"/>
  <c r="D25" i="10"/>
  <c r="D20" i="10"/>
  <c r="D13" i="10"/>
  <c r="D11" i="10"/>
  <c r="D21" i="10"/>
  <c r="D22" i="10"/>
  <c r="F672" i="1"/>
  <c r="C4" i="10" s="1"/>
  <c r="F667" i="1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<sst xmlns="http://schemas.openxmlformats.org/spreadsheetml/2006/main" count="3955" uniqueCount="913">
  <si>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</si>
  <si>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</si>
  <si>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</si>
  <si>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</si>
  <si>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</si>
  <si>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</si>
  <si>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</si>
  <si>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</si>
  <si>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</si>
  <si>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</si>
  <si>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</si>
  <si>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</si>
  <si>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</si>
  <si>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</si>
  <si>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</si>
  <si>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</si>
  <si>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</si>
  <si>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</si>
  <si>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</si>
  <si>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</si>
  <si>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</si>
  <si>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</si>
  <si>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</si>
  <si>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</si>
  <si>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</si>
  <si>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</si>
  <si>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</si>
  <si>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</si>
  <si>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</si>
  <si>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</si>
  <si>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</si>
  <si>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</si>
  <si>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</si>
  <si>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</si>
  <si>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</si>
  <si>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</si>
  <si>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</si>
  <si>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</si>
  <si>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</si>
  <si>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</si>
  <si>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</si>
  <si>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</si>
  <si>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</si>
  <si>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</si>
  <si>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</si>
  <si>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</si>
  <si>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</si>
  <si>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</si>
  <si>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</si>
  <si>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</si>
  <si>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</si>
  <si>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</si>
  <si>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</si>
  <si>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</si>
  <si>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</si>
  <si>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</si>
  <si>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</si>
  <si>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</si>
  <si>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</si>
  <si>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</si>
  <si>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</si>
  <si>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</si>
  <si>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</si>
  <si>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</si>
  <si>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</si>
  <si>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</si>
  <si>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</si>
  <si>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</si>
  <si>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</si>
  <si>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</si>
  <si>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</si>
  <si>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</si>
  <si>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</si>
  <si>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</si>
  <si>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</si>
  <si>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</si>
  <si>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</si>
  <si>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</si>
  <si>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</si>
  <si>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</si>
  <si>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</si>
  <si>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</si>
  <si>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</si>
  <si>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</si>
  <si>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</si>
  <si>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</si>
  <si>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</si>
  <si>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</si>
  <si>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</si>
  <si>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</si>
  <si>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</si>
  <si>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</si>
  <si>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</si>
  <si>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</si>
  <si>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</si>
  <si>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</si>
  <si>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</si>
  <si>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</si>
  <si>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</si>
  <si>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</si>
  <si>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</si>
  <si>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</si>
  <si>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</si>
  <si>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</si>
  <si>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</si>
  <si>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</si>
  <si>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</si>
  <si>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</si>
  <si>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</si>
  <si>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</si>
  <si>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</si>
  <si>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</si>
  <si>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</si>
  <si>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</si>
  <si>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</si>
  <si>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</si>
  <si>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</si>
  <si>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</si>
  <si>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</si>
  <si>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</si>
  <si>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</si>
  <si>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</si>
  <si>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</si>
  <si>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</si>
  <si>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</si>
  <si>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</si>
  <si>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</si>
  <si>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</si>
  <si>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</si>
  <si>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</si>
  <si>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</si>
  <si>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</si>
  <si>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</si>
  <si>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</si>
  <si>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</si>
  <si>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</si>
  <si>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</si>
  <si>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</si>
  <si>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</si>
  <si>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</si>
  <si>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</si>
  <si>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</si>
  <si>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</si>
  <si>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</si>
  <si>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</si>
  <si>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</si>
  <si>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</si>
  <si>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</si>
  <si>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</si>
  <si>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</si>
  <si>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</si>
  <si>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</si>
  <si>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</si>
  <si>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</si>
  <si>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</si>
  <si>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</si>
  <si>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</si>
  <si>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</si>
  <si>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</si>
  <si>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</si>
  <si>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</si>
  <si>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</si>
  <si>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</si>
  <si>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</si>
  <si>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</si>
  <si>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</si>
  <si>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</si>
  <si>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</si>
  <si>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</si>
  <si>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</si>
  <si>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</si>
  <si>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</si>
  <si>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</si>
  <si>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</si>
  <si>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</si>
  <si>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</si>
  <si>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</si>
  <si>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</si>
  <si>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</si>
  <si>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</si>
  <si>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</si>
  <si>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</si>
  <si>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</si>
  <si>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</si>
  <si>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</si>
  <si>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</si>
  <si>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</si>
  <si>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</si>
  <si>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</si>
  <si>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</si>
  <si>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</si>
  <si>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</si>
  <si>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</si>
  <si>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</si>
  <si>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</si>
  <si>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</si>
  <si>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</si>
  <si>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</si>
  <si>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</si>
  <si>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</si>
  <si>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</si>
  <si>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</si>
  <si>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</si>
  <si>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</si>
  <si>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</si>
  <si>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</si>
  <si>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</si>
  <si>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</si>
  <si>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</si>
  <si>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</si>
  <si>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</si>
  <si>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</si>
  <si>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</si>
  <si>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</si>
  <si>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</si>
  <si>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</si>
  <si>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</si>
  <si>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</si>
  <si>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</si>
  <si>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</si>
  <si>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</si>
  <si>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</si>
  <si>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</si>
  <si>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</si>
  <si>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</si>
  <si>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</si>
  <si>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</si>
  <si>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</si>
  <si>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</si>
  <si>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</si>
  <si>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</si>
  <si>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</si>
  <si>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</si>
  <si>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</si>
  <si>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</si>
  <si>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</si>
  <si>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</si>
  <si>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</si>
  <si>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</si>
  <si>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</si>
  <si>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</si>
  <si>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</si>
  <si>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</si>
  <si>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</si>
  <si>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</si>
  <si>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</si>
  <si>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</si>
  <si>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</si>
  <si>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</si>
  <si>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</si>
  <si>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</si>
  <si>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</si>
  <si>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</si>
  <si>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</si>
  <si>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</si>
  <si>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</si>
  <si>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</si>
  <si>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</si>
  <si>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</si>
  <si>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</si>
  <si>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</si>
  <si>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</si>
  <si>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</si>
  <si>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</si>
  <si>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</si>
  <si>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</si>
  <si>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</si>
  <si>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</si>
  <si>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</si>
  <si>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</si>
  <si>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</si>
  <si>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</si>
  <si>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</si>
  <si>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</si>
  <si>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</si>
  <si>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</si>
  <si>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</si>
  <si>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</si>
  <si>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</si>
  <si>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</si>
  <si>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</si>
  <si>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</si>
  <si>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</si>
  <si>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</si>
  <si>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</si>
  <si>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</si>
  <si>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</si>
  <si>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</si>
  <si>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</si>
  <si>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</si>
  <si>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</si>
  <si>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</si>
  <si>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</si>
  <si>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</si>
  <si>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</si>
  <si>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</si>
  <si>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</si>
  <si>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</si>
  <si>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</si>
  <si>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</si>
  <si>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</si>
  <si>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</si>
  <si>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</si>
  <si>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</si>
  <si>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</si>
  <si>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</si>
  <si>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</si>
  <si>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</si>
  <si>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</si>
  <si>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</si>
  <si>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</si>
  <si>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</si>
  <si>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</si>
  <si>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</si>
  <si>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</si>
  <si>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</si>
  <si>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</si>
  <si>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</si>
  <si>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</si>
  <si>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</si>
  <si>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</si>
  <si>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</si>
  <si>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</si>
  <si>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</si>
  <si>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</si>
  <si>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</si>
  <si>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</si>
  <si>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</si>
  <si>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</si>
  <si>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</si>
  <si>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</si>
  <si>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</si>
  <si>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</si>
  <si>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</si>
  <si>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</si>
  <si>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</si>
  <si>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</si>
  <si>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</si>
  <si>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</si>
  <si>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</si>
  <si>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</si>
  <si>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</si>
  <si>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</si>
  <si>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</si>
  <si>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</si>
  <si>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</si>
  <si>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</si>
  <si>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</si>
  <si>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</si>
  <si>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</si>
  <si>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</si>
  <si>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</si>
  <si>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</si>
  <si>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</si>
  <si>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</si>
  <si>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</si>
  <si>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</si>
  <si>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</si>
  <si>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</si>
  <si>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</si>
  <si>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</si>
  <si>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</si>
  <si>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</si>
  <si>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</si>
  <si>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</si>
  <si>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</si>
  <si>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</si>
  <si>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</si>
  <si>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</si>
  <si>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</si>
  <si>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</si>
  <si>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</si>
  <si>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</si>
  <si>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</si>
  <si>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</si>
  <si>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</si>
  <si>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</si>
  <si>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</si>
  <si>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</si>
  <si>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</si>
  <si>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</si>
  <si>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</si>
  <si>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</si>
  <si>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</si>
  <si>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</si>
  <si>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</si>
  <si>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</si>
  <si>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</si>
  <si>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</si>
  <si>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</si>
  <si>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</si>
  <si>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</si>
  <si>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</si>
  <si>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</si>
  <si>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</si>
  <si>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</si>
  <si>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</si>
  <si>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</si>
  <si>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</si>
  <si>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</si>
  <si>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</si>
  <si>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</si>
  <si>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</si>
  <si>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</si>
  <si>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</si>
  <si>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</si>
  <si>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</si>
  <si>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</si>
  <si>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</si>
  <si>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</si>
  <si>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</si>
  <si>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</si>
  <si>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</si>
  <si>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</si>
  <si>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</si>
  <si>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</si>
  <si>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</si>
  <si>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</si>
  <si>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</si>
  <si>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</si>
  <si>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</si>
  <si>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</si>
  <si>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</si>
  <si>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</si>
  <si>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</si>
  <si>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</si>
  <si>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</si>
  <si>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</si>
  <si>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</si>
  <si>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</si>
  <si>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</si>
  <si>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</si>
  <si>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</si>
  <si>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</si>
  <si>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</si>
  <si>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</si>
  <si>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</si>
  <si>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</si>
  <si>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</si>
  <si>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</si>
  <si>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</si>
  <si>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</si>
  <si>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</si>
  <si>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</si>
  <si>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</si>
  <si>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</si>
  <si>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</si>
  <si>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</si>
  <si>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</si>
  <si>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</si>
  <si>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</si>
  <si>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</si>
  <si>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</si>
  <si>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</si>
  <si>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</si>
  <si>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</si>
  <si>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</si>
  <si>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</si>
  <si>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</si>
  <si>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</si>
  <si>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</si>
  <si>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</si>
  <si>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</si>
  <si>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</si>
  <si>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</si>
  <si>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</si>
  <si>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</si>
  <si>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</si>
  <si>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</si>
  <si>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</si>
  <si>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</si>
  <si>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</si>
  <si>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</si>
  <si>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</si>
  <si>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</si>
  <si>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</si>
  <si>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</si>
  <si>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</si>
  <si>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</si>
  <si>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</si>
  <si>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</si>
  <si>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</si>
  <si>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</si>
  <si>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</si>
  <si>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</si>
  <si>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</si>
  <si>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</si>
  <si>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</si>
  <si>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</si>
  <si>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</si>
  <si>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</si>
  <si>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</si>
  <si>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</si>
  <si>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</si>
  <si>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</si>
  <si>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</si>
  <si>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</si>
  <si>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</si>
  <si>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</si>
  <si>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</si>
  <si>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</si>
  <si>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</si>
  <si>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</si>
  <si>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</si>
  <si>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</si>
  <si>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</si>
  <si>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</si>
  <si>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</si>
  <si>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</si>
  <si>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</si>
  <si>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</si>
  <si>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</si>
  <si>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</si>
  <si>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</si>
  <si>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</si>
  <si>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</si>
  <si>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</si>
  <si>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</si>
  <si>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</si>
  <si>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</si>
  <si>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</si>
  <si>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</si>
  <si>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</si>
  <si>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</si>
  <si>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</si>
  <si>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</si>
  <si>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</si>
  <si>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</si>
  <si>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</si>
  <si>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</si>
  <si>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</si>
  <si>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</si>
  <si>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</si>
  <si>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</si>
  <si>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</si>
  <si>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</si>
  <si>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</si>
  <si>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</si>
  <si>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</si>
  <si>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</si>
  <si>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</si>
  <si>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</si>
  <si>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</si>
  <si>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</si>
  <si>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</si>
  <si>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</si>
  <si>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</si>
  <si>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</si>
  <si>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</si>
  <si>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</si>
  <si>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</si>
  <si>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</si>
  <si>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</si>
  <si>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</si>
  <si>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</si>
  <si>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</si>
  <si>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</si>
  <si>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</si>
  <si>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</si>
  <si>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</si>
  <si>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</si>
  <si>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</si>
  <si>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</si>
  <si>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</si>
  <si>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</si>
  <si>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</si>
  <si>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</si>
  <si>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</si>
  <si>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</si>
  <si>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</si>
  <si>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</si>
  <si>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</si>
  <si>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</si>
  <si>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</si>
  <si>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</si>
  <si>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</si>
  <si>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</si>
  <si>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</si>
  <si>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</si>
  <si>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</si>
  <si>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</si>
  <si>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</si>
  <si>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</si>
  <si>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</si>
  <si>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</si>
  <si>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</si>
  <si>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</si>
  <si>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</si>
  <si>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</si>
  <si>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</si>
  <si>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</si>
  <si>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</si>
  <si>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</si>
  <si>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</si>
  <si>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</si>
  <si>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</si>
  <si>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</si>
  <si>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</si>
  <si>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</si>
  <si>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</si>
  <si>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</si>
  <si>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</si>
  <si>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</si>
  <si>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</si>
  <si>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</si>
  <si>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</si>
  <si>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</si>
  <si>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</si>
  <si>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</si>
  <si>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</si>
  <si>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</si>
  <si>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</si>
  <si>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</si>
  <si>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</si>
  <si>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</si>
  <si>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</si>
  <si>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</si>
  <si>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</si>
  <si>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</si>
  <si>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</si>
  <si>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</si>
  <si>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</si>
  <si>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</si>
  <si>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</si>
  <si>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</si>
  <si>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</si>
  <si>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</si>
  <si>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</si>
  <si>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</si>
  <si>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</si>
  <si>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</si>
  <si>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</si>
  <si>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</si>
  <si>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</si>
  <si>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</si>
  <si>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</si>
  <si>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</si>
  <si>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</si>
  <si>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</si>
  <si>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</si>
  <si>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</si>
  <si>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</si>
  <si>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</si>
  <si>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</si>
  <si>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</si>
  <si>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</si>
  <si>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</si>
  <si>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</si>
  <si>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</si>
  <si>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</si>
  <si>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</si>
  <si>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</si>
  <si>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</si>
  <si>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</si>
  <si>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</si>
  <si>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</si>
  <si>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</si>
  <si>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</si>
  <si>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</si>
  <si>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</si>
  <si>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</si>
  <si>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</si>
  <si>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</si>
  <si>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</si>
  <si>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</si>
  <si>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</si>
  <si>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</si>
  <si>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</si>
  <si>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</si>
  <si>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</si>
  <si>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</si>
  <si>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</si>
  <si>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</si>
  <si>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</si>
  <si>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</si>
  <si>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</si>
  <si>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</si>
  <si>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</si>
  <si>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</si>
  <si>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</si>
  <si>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</si>
  <si>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</si>
  <si>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</si>
  <si>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</si>
  <si>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</si>
  <si>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</si>
  <si>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</si>
  <si>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</si>
  <si>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</si>
  <si>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</si>
  <si>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</si>
  <si>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</si>
  <si>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</si>
  <si>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</si>
  <si>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</si>
  <si>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</si>
  <si>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</si>
  <si>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</si>
  <si>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</si>
  <si>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</si>
  <si>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</si>
  <si>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</si>
  <si>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</si>
  <si>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</si>
  <si>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</si>
  <si>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</si>
  <si>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</si>
  <si>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</si>
  <si>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</si>
  <si>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</si>
  <si>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</si>
  <si>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</si>
  <si>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</si>
  <si>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</si>
  <si>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</si>
  <si>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</si>
  <si>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</si>
  <si>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</si>
  <si>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</si>
  <si>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</si>
  <si>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</si>
  <si>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</si>
  <si>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</si>
  <si>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</si>
  <si>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</si>
  <si>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</si>
  <si>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</si>
  <si>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</si>
  <si>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</si>
  <si>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</si>
  <si>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</si>
  <si>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</si>
  <si>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</si>
  <si>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</si>
  <si>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</si>
  <si>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</si>
  <si>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</si>
  <si>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</si>
  <si>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</si>
  <si>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</si>
  <si>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</si>
  <si>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</si>
  <si>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</si>
  <si>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</si>
  <si>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</si>
  <si>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</si>
  <si>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</si>
  <si>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</si>
  <si>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</si>
  <si>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</si>
  <si>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</si>
  <si>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</si>
  <si>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</si>
  <si>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</si>
  <si>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</si>
  <si>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</si>
  <si>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</si>
  <si>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</si>
  <si>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</si>
  <si>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</si>
  <si>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</si>
  <si>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</si>
  <si>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</si>
  <si>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</si>
  <si>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</si>
  <si>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</si>
  <si>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</si>
  <si>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</si>
  <si>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</si>
  <si>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</si>
  <si>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</si>
  <si>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</si>
  <si>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</si>
  <si>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</si>
  <si>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</si>
  <si>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</si>
  <si>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</si>
  <si>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</si>
  <si>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</si>
  <si>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</si>
  <si>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</si>
  <si>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</si>
  <si>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</si>
  <si>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</si>
  <si>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</si>
  <si>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</si>
  <si>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</si>
  <si>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</si>
  <si>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</si>
  <si>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</si>
  <si>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</si>
  <si>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</si>
  <si>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</si>
  <si>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</si>
  <si>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</si>
  <si>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</si>
  <si>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</si>
  <si>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</si>
  <si>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</si>
  <si>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</si>
  <si>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</si>
  <si>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</si>
  <si>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</si>
  <si>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</si>
  <si>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</si>
  <si>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</si>
  <si>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</si>
  <si>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</si>
  <si>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</si>
  <si>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</si>
  <si>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</si>
  <si>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</si>
  <si>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</si>
  <si>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</si>
  <si>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</si>
  <si>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</si>
  <si>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</si>
  <si>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</si>
  <si>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</si>
  <si>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</si>
  <si>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</si>
  <si>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</si>
  <si>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</si>
  <si>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</si>
  <si>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</si>
  <si>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</si>
  <si>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</si>
  <si>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</si>
  <si>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</si>
  <si>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</si>
  <si>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</si>
  <si>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</si>
  <si>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</si>
  <si>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</si>
  <si>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</si>
  <si>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</si>
  <si>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</si>
  <si>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</si>
  <si>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</si>
  <si>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</si>
  <si>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</si>
  <si>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</si>
  <si>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</si>
  <si>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</si>
  <si>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</si>
  <si>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</si>
  <si>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</si>
  <si>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</si>
  <si>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</si>
  <si>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</si>
  <si>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</si>
  <si>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</si>
  <si>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</si>
  <si>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</si>
  <si>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</si>
  <si>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</si>
  <si>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</si>
  <si>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</si>
  <si>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</si>
  <si>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</si>
  <si>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</si>
  <si>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</si>
  <si>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</si>
  <si>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</si>
  <si>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</si>
  <si>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</si>
  <si>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</si>
  <si>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</si>
  <si>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</si>
  <si>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</si>
  <si>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</si>
  <si>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</si>
  <si>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</si>
  <si>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</si>
  <si>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</si>
  <si>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</si>
  <si>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</si>
  <si>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</si>
  <si>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</si>
  <si>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</si>
  <si>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</si>
  <si>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</si>
  <si>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</si>
  <si>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</si>
  <si>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</si>
  <si>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</si>
  <si>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</si>
  <si>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</si>
  <si>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</si>
  <si>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</si>
  <si>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</si>
  <si>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</si>
  <si>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</si>
  <si>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</si>
  <si>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</si>
  <si>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</si>
  <si>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</si>
  <si>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</si>
  <si>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</si>
  <si>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</si>
  <si>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</si>
  <si>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</si>
  <si>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</si>
  <si>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</si>
  <si>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</si>
  <si>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</si>
  <si>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</si>
  <si>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</si>
  <si>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</si>
  <si>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</si>
  <si>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</si>
  <si>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</si>
  <si>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Hampstead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</si>
</sst>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223</v>
      </c>
      <c r="C2" s="21">
        <v>223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1217350.57+525</f>
        <v>1217875.57</v>
      </c>
      <c r="G9" s="18">
        <f>83324.87+65</f>
        <v>83389.87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488687.59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161815.06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19774.52</v>
      </c>
      <c r="G13" s="18">
        <v>2606.1999999999998</v>
      </c>
      <c r="H13" s="18">
        <v>108869.51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3945.28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8332.56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1403410.4300000002</v>
      </c>
      <c r="G19" s="41">
        <f>SUM(G9:G18)</f>
        <v>94328.62999999999</v>
      </c>
      <c r="H19" s="41">
        <f>SUM(H9:H18)</f>
        <v>108869.51</v>
      </c>
      <c r="I19" s="41">
        <f>SUM(I9:I18)</f>
        <v>0</v>
      </c>
      <c r="J19" s="41">
        <f>SUM(J9:J18)</f>
        <v>488687.59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58568.39</v>
      </c>
      <c r="H22" s="18">
        <v>103246.67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1739.11</v>
      </c>
      <c r="G24" s="18">
        <v>25370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62816.07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1848</v>
      </c>
      <c r="G30" s="18">
        <v>10390.24</v>
      </c>
      <c r="H30" s="18">
        <v>5622.84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66403.179999999993</v>
      </c>
      <c r="G32" s="41">
        <f>SUM(G22:G31)</f>
        <v>94328.63</v>
      </c>
      <c r="H32" s="41">
        <f>SUM(H22:H31)</f>
        <v>108869.51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33737.370000000003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488687.59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1664472.68-636202.8</f>
        <v>1028269.8799999999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1337007.25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488687.59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1403410.43</v>
      </c>
      <c r="G52" s="41">
        <f>G51+G32</f>
        <v>94328.63</v>
      </c>
      <c r="H52" s="41">
        <f>H51+H32</f>
        <v>108869.51</v>
      </c>
      <c r="I52" s="41">
        <f>I51+I32</f>
        <v>0</v>
      </c>
      <c r="J52" s="41">
        <f>J51+J32</f>
        <v>488687.59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18618965-2352691</f>
        <v>16266274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16266274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116635+2880+44923.14</f>
        <v>164438.14000000001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164438.14000000001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107.44</v>
      </c>
      <c r="G96" s="18"/>
      <c r="H96" s="18"/>
      <c r="I96" s="18"/>
      <c r="J96" s="18">
        <v>665.59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222364.98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239788.55</v>
      </c>
      <c r="G110" s="18"/>
      <c r="H110" s="18">
        <v>9202.14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239895.99</v>
      </c>
      <c r="G111" s="41">
        <f>SUM(G96:G110)</f>
        <v>222364.98</v>
      </c>
      <c r="H111" s="41">
        <f>SUM(H96:H110)</f>
        <v>9202.14</v>
      </c>
      <c r="I111" s="41">
        <f>SUM(I96:I110)</f>
        <v>0</v>
      </c>
      <c r="J111" s="41">
        <f>SUM(J96:J110)</f>
        <v>665.59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16670608.130000001</v>
      </c>
      <c r="G112" s="41">
        <f>G60+G111</f>
        <v>222364.98</v>
      </c>
      <c r="H112" s="41">
        <f>H60+H79+H94+H111</f>
        <v>9202.14</v>
      </c>
      <c r="I112" s="41">
        <f>I60+I111</f>
        <v>0</v>
      </c>
      <c r="J112" s="41">
        <f>J60+J111</f>
        <v>665.59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2819806.71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2352691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5174379.6900000004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170413.5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3339.07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170413.5</v>
      </c>
      <c r="G136" s="41">
        <f>SUM(G123:G135)</f>
        <v>3339.07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5344793.1900000004</v>
      </c>
      <c r="G140" s="41">
        <f>G121+SUM(G136:G137)</f>
        <v>3339.07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58545.7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21300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48537.88+17122.73</f>
        <v>65660.61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99942.92</v>
      </c>
      <c r="G159" s="24" t="s">
        <v>289</v>
      </c>
      <c r="H159" s="18">
        <f>637.5+287969.35</f>
        <v>288606.84999999998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99942.92</v>
      </c>
      <c r="G162" s="41">
        <f>SUM(G150:G161)</f>
        <v>65660.61</v>
      </c>
      <c r="H162" s="41">
        <f>SUM(H150:H161)</f>
        <v>368452.55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99942.92</v>
      </c>
      <c r="G169" s="41">
        <f>G147+G162+SUM(G163:G168)</f>
        <v>65660.61</v>
      </c>
      <c r="H169" s="41">
        <f>H147+H162+SUM(H163:H168)</f>
        <v>368452.55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5062.4399999999996</v>
      </c>
      <c r="H179" s="18"/>
      <c r="I179" s="18"/>
      <c r="J179" s="18">
        <v>250000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5062.4399999999996</v>
      </c>
      <c r="H183" s="41">
        <f>SUM(H179:H182)</f>
        <v>0</v>
      </c>
      <c r="I183" s="41">
        <f>SUM(I179:I182)</f>
        <v>0</v>
      </c>
      <c r="J183" s="41">
        <f>SUM(J179:J182)</f>
        <v>250000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5062.4399999999996</v>
      </c>
      <c r="H192" s="41">
        <f>+H183+SUM(H188:H191)</f>
        <v>0</v>
      </c>
      <c r="I192" s="41">
        <f>I177+I183+SUM(I188:I191)</f>
        <v>0</v>
      </c>
      <c r="J192" s="41">
        <f>J183</f>
        <v>250000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22115344.240000002</v>
      </c>
      <c r="G193" s="47">
        <f>G112+G140+G169+G192</f>
        <v>296427.10000000003</v>
      </c>
      <c r="H193" s="47">
        <f>H112+H140+H169+H192</f>
        <v>377654.69</v>
      </c>
      <c r="I193" s="47">
        <f>I112+I140+I169+I192</f>
        <v>0</v>
      </c>
      <c r="J193" s="47">
        <f>J112+J140+J192</f>
        <v>250665.59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2393214.0099999998</v>
      </c>
      <c r="G197" s="18">
        <v>1242430.76</v>
      </c>
      <c r="H197" s="18">
        <v>2472.83</v>
      </c>
      <c r="I197" s="18">
        <v>90177.34</v>
      </c>
      <c r="J197" s="18">
        <v>35596.75</v>
      </c>
      <c r="K197" s="18">
        <v>6799.56</v>
      </c>
      <c r="L197" s="19">
        <f>SUM(F197:K197)</f>
        <v>3770691.2499999995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1040474.97</v>
      </c>
      <c r="G198" s="18">
        <v>540159.84</v>
      </c>
      <c r="H198" s="18">
        <v>39339.699999999997</v>
      </c>
      <c r="I198" s="18">
        <v>5823.94</v>
      </c>
      <c r="J198" s="18">
        <v>1791.89</v>
      </c>
      <c r="K198" s="18">
        <v>1023.55</v>
      </c>
      <c r="L198" s="19">
        <f>SUM(F198:K198)</f>
        <v>1628613.89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1671.82</v>
      </c>
      <c r="G200" s="18">
        <v>867.92</v>
      </c>
      <c r="H200" s="18"/>
      <c r="I200" s="18">
        <v>240.54</v>
      </c>
      <c r="J200" s="18"/>
      <c r="K200" s="18"/>
      <c r="L200" s="19">
        <f>SUM(F200:K200)</f>
        <v>2780.2799999999997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351764.45</v>
      </c>
      <c r="G202" s="18">
        <v>182617.59</v>
      </c>
      <c r="H202" s="18">
        <v>6807.54</v>
      </c>
      <c r="I202" s="18">
        <v>4446.82</v>
      </c>
      <c r="J202" s="18">
        <v>1519.22</v>
      </c>
      <c r="K202" s="18">
        <v>1596.26</v>
      </c>
      <c r="L202" s="19">
        <f t="shared" ref="L202:L208" si="0">SUM(F202:K202)</f>
        <v>548751.88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72150.89</v>
      </c>
      <c r="G203" s="18">
        <v>52894.02</v>
      </c>
      <c r="H203" s="18">
        <v>30598.5</v>
      </c>
      <c r="I203" s="18">
        <v>17952.53</v>
      </c>
      <c r="J203" s="18">
        <v>951.94</v>
      </c>
      <c r="K203" s="18">
        <v>6502.77</v>
      </c>
      <c r="L203" s="19">
        <f t="shared" si="0"/>
        <v>181050.65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2569.4</v>
      </c>
      <c r="G204" s="18">
        <v>1333.9</v>
      </c>
      <c r="H204" s="18">
        <v>153208.24</v>
      </c>
      <c r="I204" s="18">
        <v>70.91</v>
      </c>
      <c r="J204" s="18"/>
      <c r="K204" s="18"/>
      <c r="L204" s="19">
        <f t="shared" si="0"/>
        <v>157182.44999999998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306705.96999999997</v>
      </c>
      <c r="G205" s="18">
        <v>159225.60000000001</v>
      </c>
      <c r="H205" s="18">
        <v>26941.19</v>
      </c>
      <c r="I205" s="18">
        <v>3388.81</v>
      </c>
      <c r="J205" s="18">
        <v>982.22</v>
      </c>
      <c r="K205" s="18">
        <v>2107</v>
      </c>
      <c r="L205" s="19">
        <f t="shared" si="0"/>
        <v>499350.78999999992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303901.40999999997</v>
      </c>
      <c r="G207" s="18">
        <v>158473.39000000001</v>
      </c>
      <c r="H207" s="18">
        <v>86515.66</v>
      </c>
      <c r="I207" s="18">
        <v>132850.96</v>
      </c>
      <c r="J207" s="18">
        <v>7298.31</v>
      </c>
      <c r="K207" s="18">
        <v>1814.41</v>
      </c>
      <c r="L207" s="19">
        <f t="shared" si="0"/>
        <v>690854.14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261180.67</v>
      </c>
      <c r="I208" s="18"/>
      <c r="J208" s="18"/>
      <c r="K208" s="18"/>
      <c r="L208" s="19">
        <f t="shared" si="0"/>
        <v>261180.67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7312.56</v>
      </c>
      <c r="J209" s="18"/>
      <c r="K209" s="18"/>
      <c r="L209" s="19">
        <f>SUM(F209:K209)</f>
        <v>7312.56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4472452.92</v>
      </c>
      <c r="G211" s="41">
        <f t="shared" si="1"/>
        <v>2338003.02</v>
      </c>
      <c r="H211" s="41">
        <f t="shared" si="1"/>
        <v>607064.33000000007</v>
      </c>
      <c r="I211" s="41">
        <f t="shared" si="1"/>
        <v>262264.40999999997</v>
      </c>
      <c r="J211" s="41">
        <f t="shared" si="1"/>
        <v>48140.33</v>
      </c>
      <c r="K211" s="41">
        <f t="shared" si="1"/>
        <v>19843.55</v>
      </c>
      <c r="L211" s="41">
        <f t="shared" si="1"/>
        <v>7747768.5599999996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2282025.9700000002</v>
      </c>
      <c r="G215" s="18">
        <v>1184707.78</v>
      </c>
      <c r="H215" s="18">
        <v>19906.45</v>
      </c>
      <c r="I215" s="18">
        <v>75700.3</v>
      </c>
      <c r="J215" s="18">
        <v>52804.959999999999</v>
      </c>
      <c r="K215" s="18">
        <v>8865.61</v>
      </c>
      <c r="L215" s="19">
        <f>SUM(F215:K215)</f>
        <v>3624011.07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983848.1</v>
      </c>
      <c r="G216" s="18">
        <v>510762.15</v>
      </c>
      <c r="H216" s="18">
        <v>336544.36</v>
      </c>
      <c r="I216" s="18">
        <v>4750.16</v>
      </c>
      <c r="J216" s="18">
        <v>1473.51</v>
      </c>
      <c r="K216" s="18">
        <v>1067.8399999999999</v>
      </c>
      <c r="L216" s="19">
        <f>SUM(F216:K216)</f>
        <v>1838446.1199999999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47794.62</v>
      </c>
      <c r="G218" s="18">
        <v>24812.45</v>
      </c>
      <c r="H218" s="18">
        <v>7800</v>
      </c>
      <c r="I218" s="18">
        <v>5949.38</v>
      </c>
      <c r="J218" s="18">
        <v>3422.89</v>
      </c>
      <c r="K218" s="18">
        <v>4388.95</v>
      </c>
      <c r="L218" s="19">
        <f>SUM(F218:K218)</f>
        <v>94168.290000000008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429446.36</v>
      </c>
      <c r="G220" s="18">
        <v>222945.95</v>
      </c>
      <c r="H220" s="18">
        <v>11690.46</v>
      </c>
      <c r="I220" s="18">
        <v>2961.85</v>
      </c>
      <c r="J220" s="18">
        <v>1095.68</v>
      </c>
      <c r="K220" s="18">
        <v>1665.34</v>
      </c>
      <c r="L220" s="19">
        <f t="shared" ref="L220:L226" si="2">SUM(F220:K220)</f>
        <v>669805.64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72267.37</v>
      </c>
      <c r="G221" s="18">
        <v>53622.59</v>
      </c>
      <c r="H221" s="18">
        <v>31922.76</v>
      </c>
      <c r="I221" s="18">
        <v>13417.76</v>
      </c>
      <c r="J221" s="18">
        <v>825.05</v>
      </c>
      <c r="K221" s="18"/>
      <c r="L221" s="19">
        <f t="shared" si="2"/>
        <v>172055.53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2680.6</v>
      </c>
      <c r="G222" s="18">
        <v>1391.63</v>
      </c>
      <c r="H222" s="18">
        <v>159838.92000000001</v>
      </c>
      <c r="I222" s="18">
        <v>73.97</v>
      </c>
      <c r="J222" s="18"/>
      <c r="K222" s="18">
        <v>6784.2</v>
      </c>
      <c r="L222" s="19">
        <f t="shared" si="2"/>
        <v>170769.32000000004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323618.14</v>
      </c>
      <c r="G223" s="18">
        <v>168005.51</v>
      </c>
      <c r="H223" s="18">
        <v>12366.28</v>
      </c>
      <c r="I223" s="18">
        <v>3568.48</v>
      </c>
      <c r="J223" s="18">
        <v>999.92</v>
      </c>
      <c r="K223" s="18">
        <v>3292</v>
      </c>
      <c r="L223" s="19">
        <f t="shared" si="2"/>
        <v>511850.33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319186.53000000003</v>
      </c>
      <c r="G225" s="18">
        <v>166439.07</v>
      </c>
      <c r="H225" s="18">
        <v>90259.96</v>
      </c>
      <c r="I225" s="18">
        <v>138600.6</v>
      </c>
      <c r="J225" s="18">
        <v>7614.18</v>
      </c>
      <c r="K225" s="18">
        <v>2225.7399999999998</v>
      </c>
      <c r="L225" s="19">
        <f t="shared" si="2"/>
        <v>724326.08000000007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258088.92</v>
      </c>
      <c r="I226" s="18"/>
      <c r="J226" s="18"/>
      <c r="K226" s="18"/>
      <c r="L226" s="19">
        <f t="shared" si="2"/>
        <v>258088.92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v>7629.04</v>
      </c>
      <c r="J227" s="18"/>
      <c r="K227" s="18"/>
      <c r="L227" s="19">
        <f>SUM(F227:K227)</f>
        <v>7629.04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4460867.6900000004</v>
      </c>
      <c r="G229" s="41">
        <f>SUM(G215:G228)</f>
        <v>2332687.13</v>
      </c>
      <c r="H229" s="41">
        <f>SUM(H215:H228)</f>
        <v>928418.1100000001</v>
      </c>
      <c r="I229" s="41">
        <f>SUM(I215:I228)</f>
        <v>252651.54</v>
      </c>
      <c r="J229" s="41">
        <f>SUM(J215:J228)</f>
        <v>68236.19</v>
      </c>
      <c r="K229" s="41">
        <f t="shared" si="3"/>
        <v>28289.68</v>
      </c>
      <c r="L229" s="41">
        <f t="shared" si="3"/>
        <v>8071150.3399999999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4626625.09</v>
      </c>
      <c r="I233" s="18"/>
      <c r="J233" s="18"/>
      <c r="K233" s="18"/>
      <c r="L233" s="19">
        <f>SUM(F233:K233)</f>
        <v>4626625.09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81728.490000000005</v>
      </c>
      <c r="G234" s="18">
        <v>42429.13</v>
      </c>
      <c r="H234" s="18">
        <v>1298755.6000000001</v>
      </c>
      <c r="I234" s="18"/>
      <c r="J234" s="18"/>
      <c r="K234" s="18"/>
      <c r="L234" s="19">
        <f>SUM(F234:K234)</f>
        <v>1422913.2200000002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109365.6</v>
      </c>
      <c r="I240" s="18"/>
      <c r="J240" s="18"/>
      <c r="K240" s="18"/>
      <c r="L240" s="19">
        <f t="shared" si="4"/>
        <v>109365.6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280910.55</v>
      </c>
      <c r="I244" s="18"/>
      <c r="J244" s="18"/>
      <c r="K244" s="18"/>
      <c r="L244" s="19">
        <f t="shared" si="4"/>
        <v>280910.55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81728.490000000005</v>
      </c>
      <c r="G247" s="41">
        <f t="shared" si="5"/>
        <v>42429.13</v>
      </c>
      <c r="H247" s="41">
        <f t="shared" si="5"/>
        <v>6315656.8399999989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6439814.46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10128.549999999999</v>
      </c>
      <c r="G253" s="18">
        <v>5258.21</v>
      </c>
      <c r="H253" s="18"/>
      <c r="I253" s="18"/>
      <c r="J253" s="18"/>
      <c r="K253" s="18"/>
      <c r="L253" s="19">
        <f t="shared" si="6"/>
        <v>15386.759999999998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222364.48</v>
      </c>
      <c r="I255" s="18"/>
      <c r="J255" s="18"/>
      <c r="K255" s="18"/>
      <c r="L255" s="19">
        <f t="shared" si="6"/>
        <v>222364.48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10128.549999999999</v>
      </c>
      <c r="G256" s="41">
        <f t="shared" si="7"/>
        <v>5258.21</v>
      </c>
      <c r="H256" s="41">
        <f t="shared" si="7"/>
        <v>222364.48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237751.24000000002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9025177.6500000004</v>
      </c>
      <c r="G257" s="41">
        <f t="shared" si="8"/>
        <v>4718377.49</v>
      </c>
      <c r="H257" s="41">
        <f t="shared" si="8"/>
        <v>8073503.7599999998</v>
      </c>
      <c r="I257" s="41">
        <f t="shared" si="8"/>
        <v>514915.94999999995</v>
      </c>
      <c r="J257" s="41">
        <f t="shared" si="8"/>
        <v>116376.52</v>
      </c>
      <c r="K257" s="41">
        <f t="shared" si="8"/>
        <v>48133.229999999996</v>
      </c>
      <c r="L257" s="41">
        <f t="shared" si="8"/>
        <v>22496484.599999998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5062.4399999999996</v>
      </c>
      <c r="L263" s="19">
        <f>SUM(F263:K263)</f>
        <v>5062.4399999999996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250000</v>
      </c>
      <c r="L266" s="19">
        <f t="shared" si="9"/>
        <v>250000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255062.44</v>
      </c>
      <c r="L270" s="41">
        <f t="shared" si="9"/>
        <v>255062.44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9025177.6500000004</v>
      </c>
      <c r="G271" s="42">
        <f t="shared" si="11"/>
        <v>4718377.49</v>
      </c>
      <c r="H271" s="42">
        <f t="shared" si="11"/>
        <v>8073503.7599999998</v>
      </c>
      <c r="I271" s="42">
        <f t="shared" si="11"/>
        <v>514915.94999999995</v>
      </c>
      <c r="J271" s="42">
        <f t="shared" si="11"/>
        <v>116376.52</v>
      </c>
      <c r="K271" s="42">
        <f t="shared" si="11"/>
        <v>303195.67</v>
      </c>
      <c r="L271" s="42">
        <f t="shared" si="11"/>
        <v>22751547.039999999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28652.82</v>
      </c>
      <c r="G276" s="18"/>
      <c r="H276" s="18"/>
      <c r="I276" s="18"/>
      <c r="J276" s="18">
        <v>3069.65</v>
      </c>
      <c r="K276" s="18"/>
      <c r="L276" s="19">
        <f>SUM(F276:K276)</f>
        <v>31722.47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102371.91</v>
      </c>
      <c r="G277" s="18">
        <v>8578.66</v>
      </c>
      <c r="H277" s="18"/>
      <c r="I277" s="18">
        <v>2581.2600000000002</v>
      </c>
      <c r="J277" s="18">
        <v>1097.67</v>
      </c>
      <c r="K277" s="18"/>
      <c r="L277" s="19">
        <f>SUM(F277:K277)</f>
        <v>114629.5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22826.81</v>
      </c>
      <c r="I281" s="18"/>
      <c r="J281" s="18"/>
      <c r="K281" s="18"/>
      <c r="L281" s="19">
        <f t="shared" ref="L281:L287" si="12">SUM(F281:K281)</f>
        <v>22826.81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5200.09</v>
      </c>
      <c r="G282" s="18"/>
      <c r="H282" s="18">
        <v>9014.9500000000007</v>
      </c>
      <c r="I282" s="18"/>
      <c r="J282" s="18"/>
      <c r="K282" s="18"/>
      <c r="L282" s="19">
        <f t="shared" si="12"/>
        <v>14215.04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136224.82</v>
      </c>
      <c r="G290" s="42">
        <f t="shared" si="13"/>
        <v>8578.66</v>
      </c>
      <c r="H290" s="42">
        <f t="shared" si="13"/>
        <v>31841.760000000002</v>
      </c>
      <c r="I290" s="42">
        <f t="shared" si="13"/>
        <v>2581.2600000000002</v>
      </c>
      <c r="J290" s="42">
        <f t="shared" si="13"/>
        <v>4167.32</v>
      </c>
      <c r="K290" s="42">
        <f t="shared" si="13"/>
        <v>0</v>
      </c>
      <c r="L290" s="41">
        <f t="shared" si="13"/>
        <v>183393.82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29892.880000000001</v>
      </c>
      <c r="G295" s="18"/>
      <c r="H295" s="18"/>
      <c r="I295" s="18">
        <v>104.99</v>
      </c>
      <c r="J295" s="18">
        <v>3202.5</v>
      </c>
      <c r="K295" s="18"/>
      <c r="L295" s="19">
        <f>SUM(F295:K295)</f>
        <v>33200.370000000003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106802.46</v>
      </c>
      <c r="G296" s="18">
        <v>8949.93</v>
      </c>
      <c r="H296" s="18"/>
      <c r="I296" s="18">
        <v>2692.97</v>
      </c>
      <c r="J296" s="18">
        <v>1145.17</v>
      </c>
      <c r="K296" s="18"/>
      <c r="L296" s="19">
        <f>SUM(F296:K296)</f>
        <v>119590.53000000001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23814.720000000001</v>
      </c>
      <c r="I300" s="18"/>
      <c r="J300" s="18"/>
      <c r="K300" s="18"/>
      <c r="L300" s="19">
        <f t="shared" ref="L300:L306" si="14">SUM(F300:K300)</f>
        <v>23814.720000000001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5425.15</v>
      </c>
      <c r="G301" s="18"/>
      <c r="H301" s="18">
        <v>9405.1</v>
      </c>
      <c r="I301" s="18"/>
      <c r="J301" s="18"/>
      <c r="K301" s="18"/>
      <c r="L301" s="19">
        <f t="shared" si="14"/>
        <v>14830.25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142120.49</v>
      </c>
      <c r="G309" s="42">
        <f t="shared" si="15"/>
        <v>8949.93</v>
      </c>
      <c r="H309" s="42">
        <f t="shared" si="15"/>
        <v>33219.82</v>
      </c>
      <c r="I309" s="42">
        <f t="shared" si="15"/>
        <v>2797.9599999999996</v>
      </c>
      <c r="J309" s="42">
        <f t="shared" si="15"/>
        <v>4347.67</v>
      </c>
      <c r="K309" s="42">
        <f t="shared" si="15"/>
        <v>0</v>
      </c>
      <c r="L309" s="41">
        <f t="shared" si="15"/>
        <v>191435.87000000002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2825</v>
      </c>
      <c r="I336" s="18"/>
      <c r="J336" s="18"/>
      <c r="K336" s="18"/>
      <c r="L336" s="19">
        <f t="shared" si="18"/>
        <v>2825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2825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2825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278345.31</v>
      </c>
      <c r="G338" s="41">
        <f t="shared" si="20"/>
        <v>17528.59</v>
      </c>
      <c r="H338" s="41">
        <f t="shared" si="20"/>
        <v>67886.58</v>
      </c>
      <c r="I338" s="41">
        <f t="shared" si="20"/>
        <v>5379.2199999999993</v>
      </c>
      <c r="J338" s="41">
        <f t="shared" si="20"/>
        <v>8514.99</v>
      </c>
      <c r="K338" s="41">
        <f t="shared" si="20"/>
        <v>0</v>
      </c>
      <c r="L338" s="41">
        <f t="shared" si="20"/>
        <v>377654.69000000006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278345.31</v>
      </c>
      <c r="G352" s="41">
        <f>G338</f>
        <v>17528.59</v>
      </c>
      <c r="H352" s="41">
        <f>H338</f>
        <v>67886.58</v>
      </c>
      <c r="I352" s="41">
        <f>I338</f>
        <v>5379.2199999999993</v>
      </c>
      <c r="J352" s="41">
        <f>J338</f>
        <v>8514.99</v>
      </c>
      <c r="K352" s="47">
        <f>K338+K351</f>
        <v>0</v>
      </c>
      <c r="L352" s="41">
        <f>L338+L351</f>
        <v>377654.69000000006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77772.639999999999</v>
      </c>
      <c r="G358" s="18">
        <v>2449.77</v>
      </c>
      <c r="H358" s="18"/>
      <c r="I358" s="18">
        <v>66924.899999999994</v>
      </c>
      <c r="J358" s="18"/>
      <c r="K358" s="18">
        <v>4894.09</v>
      </c>
      <c r="L358" s="13">
        <f>SUM(F358:K358)</f>
        <v>152041.4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67337.39</v>
      </c>
      <c r="G359" s="18">
        <v>2121.06</v>
      </c>
      <c r="H359" s="18"/>
      <c r="I359" s="18">
        <v>69821.34</v>
      </c>
      <c r="J359" s="18"/>
      <c r="K359" s="18">
        <v>5105.91</v>
      </c>
      <c r="L359" s="19">
        <f>SUM(F359:K359)</f>
        <v>144385.69999999998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145110.03</v>
      </c>
      <c r="G362" s="47">
        <f t="shared" si="22"/>
        <v>4570.83</v>
      </c>
      <c r="H362" s="47">
        <f t="shared" si="22"/>
        <v>0</v>
      </c>
      <c r="I362" s="47">
        <f t="shared" si="22"/>
        <v>136746.23999999999</v>
      </c>
      <c r="J362" s="47">
        <f t="shared" si="22"/>
        <v>0</v>
      </c>
      <c r="K362" s="47">
        <f t="shared" si="22"/>
        <v>10000</v>
      </c>
      <c r="L362" s="47">
        <f t="shared" si="22"/>
        <v>296427.09999999998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44306.25</v>
      </c>
      <c r="G367" s="18">
        <v>46223.78</v>
      </c>
      <c r="H367" s="18"/>
      <c r="I367" s="56">
        <f>SUM(F367:H367)</f>
        <v>90530.03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22618.65</v>
      </c>
      <c r="G368" s="63">
        <v>23597.56</v>
      </c>
      <c r="H368" s="63"/>
      <c r="I368" s="56">
        <f>SUM(F368:H368)</f>
        <v>46216.210000000006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66924.899999999994</v>
      </c>
      <c r="G369" s="47">
        <f>SUM(G367:G368)</f>
        <v>69821.34</v>
      </c>
      <c r="H369" s="47">
        <f>SUM(H367:H368)</f>
        <v>0</v>
      </c>
      <c r="I369" s="47">
        <f>SUM(I367:I368)</f>
        <v>136746.23999999999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250000</v>
      </c>
      <c r="H388" s="18">
        <v>665.59</v>
      </c>
      <c r="I388" s="18"/>
      <c r="J388" s="24" t="s">
        <v>289</v>
      </c>
      <c r="K388" s="24" t="s">
        <v>289</v>
      </c>
      <c r="L388" s="56">
        <f t="shared" si="25"/>
        <v>250665.59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665.59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250665.59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665.59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250665.59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488687.59</v>
      </c>
      <c r="G440" s="18"/>
      <c r="H440" s="18"/>
      <c r="I440" s="56">
        <f t="shared" si="33"/>
        <v>488687.59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488687.59</v>
      </c>
      <c r="G446" s="13">
        <f>SUM(G439:G445)</f>
        <v>0</v>
      </c>
      <c r="H446" s="13">
        <f>SUM(H439:H445)</f>
        <v>0</v>
      </c>
      <c r="I446" s="13">
        <f>SUM(I439:I445)</f>
        <v>488687.59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488687.59</v>
      </c>
      <c r="G459" s="18"/>
      <c r="H459" s="18"/>
      <c r="I459" s="56">
        <f t="shared" si="34"/>
        <v>488687.59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488687.59</v>
      </c>
      <c r="G460" s="83">
        <f>SUM(G454:G459)</f>
        <v>0</v>
      </c>
      <c r="H460" s="83">
        <f>SUM(H454:H459)</f>
        <v>0</v>
      </c>
      <c r="I460" s="83">
        <f>SUM(I454:I459)</f>
        <v>488687.59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488687.59</v>
      </c>
      <c r="G461" s="42">
        <f>G452+G460</f>
        <v>0</v>
      </c>
      <c r="H461" s="42">
        <f>H452+H460</f>
        <v>0</v>
      </c>
      <c r="I461" s="42">
        <f>I452+I460</f>
        <v>488687.59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1973210.05</v>
      </c>
      <c r="G465" s="18">
        <v>0</v>
      </c>
      <c r="H465" s="18"/>
      <c r="I465" s="18"/>
      <c r="J465" s="18">
        <v>238022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22115344.239999998</v>
      </c>
      <c r="G468" s="18">
        <v>296427.09999999998</v>
      </c>
      <c r="H468" s="18">
        <v>377654.69</v>
      </c>
      <c r="I468" s="18"/>
      <c r="J468" s="18">
        <v>250665.59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22115344.239999998</v>
      </c>
      <c r="G470" s="53">
        <f>SUM(G468:G469)</f>
        <v>296427.09999999998</v>
      </c>
      <c r="H470" s="53">
        <f>SUM(H468:H469)</f>
        <v>377654.69</v>
      </c>
      <c r="I470" s="53">
        <f>SUM(I468:I469)</f>
        <v>0</v>
      </c>
      <c r="J470" s="53">
        <f>SUM(J468:J469)</f>
        <v>250665.59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22751547.04</f>
        <v>22751547.039999999</v>
      </c>
      <c r="G472" s="18">
        <v>296427.09999999998</v>
      </c>
      <c r="H472" s="18">
        <v>377654.69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22751547.039999999</v>
      </c>
      <c r="G474" s="53">
        <f>SUM(G472:G473)</f>
        <v>296427.09999999998</v>
      </c>
      <c r="H474" s="53">
        <f>SUM(H472:H473)</f>
        <v>377654.69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1337007.25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488687.58999999997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1054648.76</v>
      </c>
      <c r="G521" s="18">
        <v>502950.68</v>
      </c>
      <c r="H521" s="18">
        <v>39339.699999999997</v>
      </c>
      <c r="I521" s="18">
        <v>7911.52</v>
      </c>
      <c r="J521" s="18">
        <v>2889.56</v>
      </c>
      <c r="K521" s="18">
        <v>1023.55</v>
      </c>
      <c r="L521" s="88">
        <f>SUM(F521:K521)</f>
        <v>1608763.77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996996.89</v>
      </c>
      <c r="G522" s="18">
        <v>471092.02</v>
      </c>
      <c r="H522" s="18">
        <v>336544.36</v>
      </c>
      <c r="I522" s="18">
        <v>6990.96</v>
      </c>
      <c r="J522" s="18">
        <v>2618.6799999999998</v>
      </c>
      <c r="K522" s="18">
        <v>1067.8399999999999</v>
      </c>
      <c r="L522" s="88">
        <f>SUM(F522:K522)</f>
        <v>1815310.75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1298755.6000000001</v>
      </c>
      <c r="I523" s="18"/>
      <c r="J523" s="18"/>
      <c r="K523" s="18"/>
      <c r="L523" s="88">
        <f>SUM(F523:K523)</f>
        <v>1298755.6000000001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2051645.65</v>
      </c>
      <c r="G524" s="108">
        <f t="shared" ref="G524:L524" si="36">SUM(G521:G523)</f>
        <v>974042.7</v>
      </c>
      <c r="H524" s="108">
        <f t="shared" si="36"/>
        <v>1674639.6600000001</v>
      </c>
      <c r="I524" s="108">
        <f t="shared" si="36"/>
        <v>14902.48</v>
      </c>
      <c r="J524" s="108">
        <f t="shared" si="36"/>
        <v>5508.24</v>
      </c>
      <c r="K524" s="108">
        <f t="shared" si="36"/>
        <v>2091.39</v>
      </c>
      <c r="L524" s="89">
        <f t="shared" si="36"/>
        <v>4722830.12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246371.84</v>
      </c>
      <c r="G526" s="18">
        <v>127903.29</v>
      </c>
      <c r="H526" s="18"/>
      <c r="I526" s="18">
        <v>969.43</v>
      </c>
      <c r="J526" s="18">
        <v>848</v>
      </c>
      <c r="K526" s="18"/>
      <c r="L526" s="88">
        <f>SUM(F526:K526)</f>
        <v>376092.56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109661.06</v>
      </c>
      <c r="G527" s="18">
        <v>56930.25</v>
      </c>
      <c r="H527" s="18"/>
      <c r="I527" s="18">
        <v>878.55</v>
      </c>
      <c r="J527" s="18">
        <v>884.7</v>
      </c>
      <c r="K527" s="18"/>
      <c r="L527" s="88">
        <f>SUM(F527:K527)</f>
        <v>168354.56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9503.9599999999991</v>
      </c>
      <c r="G528" s="18">
        <v>4933.95</v>
      </c>
      <c r="H528" s="18"/>
      <c r="I528" s="18"/>
      <c r="J528" s="18"/>
      <c r="K528" s="18"/>
      <c r="L528" s="88">
        <f>SUM(F528:K528)</f>
        <v>14437.91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365536.86000000004</v>
      </c>
      <c r="G529" s="89">
        <f t="shared" ref="G529:L529" si="37">SUM(G526:G528)</f>
        <v>189767.49</v>
      </c>
      <c r="H529" s="89">
        <f t="shared" si="37"/>
        <v>0</v>
      </c>
      <c r="I529" s="89">
        <f t="shared" si="37"/>
        <v>1847.98</v>
      </c>
      <c r="J529" s="89">
        <f t="shared" si="37"/>
        <v>1732.7</v>
      </c>
      <c r="K529" s="89">
        <f t="shared" si="37"/>
        <v>0</v>
      </c>
      <c r="L529" s="89">
        <f t="shared" si="37"/>
        <v>558885.03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88198.12</v>
      </c>
      <c r="G531" s="18">
        <v>45787.82</v>
      </c>
      <c r="H531" s="18"/>
      <c r="I531" s="18">
        <v>493.68</v>
      </c>
      <c r="J531" s="18"/>
      <c r="K531" s="18"/>
      <c r="L531" s="88">
        <f>SUM(F531:K531)</f>
        <v>134479.62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93653.67</v>
      </c>
      <c r="G532" s="18">
        <v>48620.06</v>
      </c>
      <c r="H532" s="18"/>
      <c r="I532" s="18">
        <v>452.17</v>
      </c>
      <c r="J532" s="18"/>
      <c r="K532" s="18"/>
      <c r="L532" s="88">
        <f>SUM(F532:K532)</f>
        <v>142725.9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81728.490000000005</v>
      </c>
      <c r="G533" s="18">
        <v>42429.13</v>
      </c>
      <c r="H533" s="18"/>
      <c r="I533" s="18"/>
      <c r="J533" s="18"/>
      <c r="K533" s="18"/>
      <c r="L533" s="88">
        <f>SUM(F533:K533)</f>
        <v>124157.62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263580.27999999997</v>
      </c>
      <c r="G534" s="89">
        <f t="shared" ref="G534:L534" si="38">SUM(G531:G533)</f>
        <v>136837.01</v>
      </c>
      <c r="H534" s="89">
        <f t="shared" si="38"/>
        <v>0</v>
      </c>
      <c r="I534" s="89">
        <f t="shared" si="38"/>
        <v>945.85</v>
      </c>
      <c r="J534" s="89">
        <f t="shared" si="38"/>
        <v>0</v>
      </c>
      <c r="K534" s="89">
        <f t="shared" si="38"/>
        <v>0</v>
      </c>
      <c r="L534" s="89">
        <f t="shared" si="38"/>
        <v>401363.14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8600.36</v>
      </c>
      <c r="I536" s="18"/>
      <c r="J536" s="18"/>
      <c r="K536" s="18"/>
      <c r="L536" s="88">
        <f>SUM(F536:K536)</f>
        <v>8600.36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8600.36</v>
      </c>
      <c r="I537" s="18"/>
      <c r="J537" s="18"/>
      <c r="K537" s="18"/>
      <c r="L537" s="88">
        <f>SUM(F537:K537)</f>
        <v>8600.36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17200.72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17200.72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86183.51</v>
      </c>
      <c r="I541" s="18"/>
      <c r="J541" s="18"/>
      <c r="K541" s="18"/>
      <c r="L541" s="88">
        <f>SUM(F541:K541)</f>
        <v>86183.51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64702.34</v>
      </c>
      <c r="I542" s="18"/>
      <c r="J542" s="18"/>
      <c r="K542" s="18"/>
      <c r="L542" s="88">
        <f>SUM(F542:K542)</f>
        <v>64702.34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107923.49</v>
      </c>
      <c r="I543" s="18"/>
      <c r="J543" s="18"/>
      <c r="K543" s="18"/>
      <c r="L543" s="88">
        <f>SUM(F543:K543)</f>
        <v>107923.49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258809.33999999997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258809.33999999997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2680762.7899999996</v>
      </c>
      <c r="G545" s="89">
        <f t="shared" ref="G545:L545" si="41">G524+G529+G534+G539+G544</f>
        <v>1300647.2</v>
      </c>
      <c r="H545" s="89">
        <f t="shared" si="41"/>
        <v>1950649.7200000002</v>
      </c>
      <c r="I545" s="89">
        <f t="shared" si="41"/>
        <v>17696.309999999998</v>
      </c>
      <c r="J545" s="89">
        <f t="shared" si="41"/>
        <v>7240.94</v>
      </c>
      <c r="K545" s="89">
        <f t="shared" si="41"/>
        <v>2091.39</v>
      </c>
      <c r="L545" s="89">
        <f t="shared" si="41"/>
        <v>5959088.3499999996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1608763.77</v>
      </c>
      <c r="G549" s="87">
        <f>L526</f>
        <v>376092.56</v>
      </c>
      <c r="H549" s="87">
        <f>L531</f>
        <v>134479.62</v>
      </c>
      <c r="I549" s="87">
        <f>L536</f>
        <v>8600.36</v>
      </c>
      <c r="J549" s="87">
        <f>L541</f>
        <v>86183.51</v>
      </c>
      <c r="K549" s="87">
        <f>SUM(F549:J549)</f>
        <v>2214119.8199999998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1815310.75</v>
      </c>
      <c r="G550" s="87">
        <f>L527</f>
        <v>168354.56</v>
      </c>
      <c r="H550" s="87">
        <f>L532</f>
        <v>142725.9</v>
      </c>
      <c r="I550" s="87">
        <f>L537</f>
        <v>8600.36</v>
      </c>
      <c r="J550" s="87">
        <f>L542</f>
        <v>64702.34</v>
      </c>
      <c r="K550" s="87">
        <f>SUM(F550:J550)</f>
        <v>2199693.9099999997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1298755.6000000001</v>
      </c>
      <c r="G551" s="87">
        <f>L528</f>
        <v>14437.91</v>
      </c>
      <c r="H551" s="87">
        <f>L533</f>
        <v>124157.62</v>
      </c>
      <c r="I551" s="87">
        <f>L538</f>
        <v>0</v>
      </c>
      <c r="J551" s="87">
        <f>L543</f>
        <v>107923.49</v>
      </c>
      <c r="K551" s="87">
        <f>SUM(F551:J551)</f>
        <v>1545274.6199999999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4722830.12</v>
      </c>
      <c r="G552" s="89">
        <f t="shared" si="42"/>
        <v>558885.03</v>
      </c>
      <c r="H552" s="89">
        <f t="shared" si="42"/>
        <v>401363.14</v>
      </c>
      <c r="I552" s="89">
        <f t="shared" si="42"/>
        <v>17200.72</v>
      </c>
      <c r="J552" s="89">
        <f t="shared" si="42"/>
        <v>258809.33999999997</v>
      </c>
      <c r="K552" s="89">
        <f t="shared" si="42"/>
        <v>5959088.3499999996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14100+131618.48</f>
        <v>145718.48000000001</v>
      </c>
      <c r="I575" s="87">
        <f>SUM(F575:H575)</f>
        <v>145718.48000000001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4612525.09+800958.86</f>
        <v>5413483.9500000002</v>
      </c>
      <c r="I577" s="87">
        <f t="shared" si="47"/>
        <v>5413483.9500000002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>
        <v>295502.08000000002</v>
      </c>
      <c r="H578" s="18">
        <v>320127.26</v>
      </c>
      <c r="I578" s="87">
        <f t="shared" si="47"/>
        <v>615629.34000000008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46051.3</v>
      </c>
      <c r="I584" s="87">
        <f t="shared" si="47"/>
        <v>46051.3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174997.16</v>
      </c>
      <c r="I591" s="18">
        <v>182570.85</v>
      </c>
      <c r="J591" s="18">
        <v>172987.06</v>
      </c>
      <c r="K591" s="104">
        <f t="shared" ref="K591:K597" si="48">SUM(H591:J591)</f>
        <v>530555.07000000007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86183.51</v>
      </c>
      <c r="I592" s="18">
        <v>64702.34</v>
      </c>
      <c r="J592" s="18">
        <v>107923.49</v>
      </c>
      <c r="K592" s="104">
        <f t="shared" si="48"/>
        <v>258809.33999999997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9505.4</v>
      </c>
      <c r="J594" s="18"/>
      <c r="K594" s="104">
        <f t="shared" si="48"/>
        <v>9505.4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1310.33</v>
      </c>
      <c r="J595" s="18"/>
      <c r="K595" s="104">
        <f t="shared" si="48"/>
        <v>1310.33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261180.66999999998</v>
      </c>
      <c r="I598" s="108">
        <f>SUM(I591:I597)</f>
        <v>258088.91999999998</v>
      </c>
      <c r="J598" s="108">
        <f>SUM(J591:J597)</f>
        <v>280910.55</v>
      </c>
      <c r="K598" s="108">
        <f>SUM(K591:K597)</f>
        <v>800180.14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49238</v>
      </c>
      <c r="I604" s="18">
        <v>75653.509999999995</v>
      </c>
      <c r="J604" s="18"/>
      <c r="K604" s="104">
        <f>SUM(H604:J604)</f>
        <v>124891.51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49238</v>
      </c>
      <c r="I605" s="108">
        <f>SUM(I602:I604)</f>
        <v>75653.509999999995</v>
      </c>
      <c r="J605" s="108">
        <f>SUM(J602:J604)</f>
        <v>0</v>
      </c>
      <c r="K605" s="108">
        <f>SUM(K602:K604)</f>
        <v>124891.51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1403410.4300000002</v>
      </c>
      <c r="H617" s="109">
        <f>SUM(F52)</f>
        <v>1403410.43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94328.62999999999</v>
      </c>
      <c r="H618" s="109">
        <f>SUM(G52)</f>
        <v>94328.63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108869.51</v>
      </c>
      <c r="H619" s="109">
        <f>SUM(H52)</f>
        <v>108869.51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488687.59</v>
      </c>
      <c r="H621" s="109">
        <f>SUM(J52)</f>
        <v>488687.59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1337007.25</v>
      </c>
      <c r="H622" s="109">
        <f>F476</f>
        <v>1337007.25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488687.59</v>
      </c>
      <c r="H626" s="109">
        <f>J476</f>
        <v>488687.58999999997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22115344.240000002</v>
      </c>
      <c r="H627" s="104">
        <f>SUM(F468)</f>
        <v>22115344.239999998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296427.10000000003</v>
      </c>
      <c r="H628" s="104">
        <f>SUM(G468)</f>
        <v>296427.09999999998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377654.69</v>
      </c>
      <c r="H629" s="104">
        <f>SUM(H468)</f>
        <v>377654.69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250665.59</v>
      </c>
      <c r="H631" s="104">
        <f>SUM(J468)</f>
        <v>250665.59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22751547.039999999</v>
      </c>
      <c r="H632" s="104">
        <f>SUM(F472)</f>
        <v>22751547.039999999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377654.69000000006</v>
      </c>
      <c r="H633" s="104">
        <f>SUM(H472)</f>
        <v>377654.69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136746.23999999999</v>
      </c>
      <c r="H634" s="104">
        <f>I369</f>
        <v>136746.23999999999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296427.09999999998</v>
      </c>
      <c r="H635" s="104">
        <f>SUM(G472)</f>
        <v>296427.09999999998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250665.59</v>
      </c>
      <c r="H637" s="164">
        <f>SUM(J468)</f>
        <v>250665.59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488687.59</v>
      </c>
      <c r="H639" s="104">
        <f>SUM(F461)</f>
        <v>488687.59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488687.59</v>
      </c>
      <c r="H642" s="104">
        <f>SUM(I461)</f>
        <v>488687.59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665.59</v>
      </c>
      <c r="H644" s="104">
        <f>H408</f>
        <v>665.59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250000</v>
      </c>
      <c r="H645" s="104">
        <f>G408</f>
        <v>250000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250665.59</v>
      </c>
      <c r="H646" s="104">
        <f>L408</f>
        <v>250665.59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800180.14</v>
      </c>
      <c r="H647" s="104">
        <f>L208+L226+L244</f>
        <v>800180.14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124891.51</v>
      </c>
      <c r="H648" s="104">
        <f>(J257+J338)-(J255+J336)</f>
        <v>124891.51000000001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261180.67</v>
      </c>
      <c r="H649" s="104">
        <f>H598</f>
        <v>261180.66999999998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258088.92</v>
      </c>
      <c r="H650" s="104">
        <f>I598</f>
        <v>258088.91999999998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280910.55</v>
      </c>
      <c r="H651" s="104">
        <f>J598</f>
        <v>280910.55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5062.4399999999996</v>
      </c>
      <c r="H652" s="104">
        <f>K263+K345</f>
        <v>5062.4399999999996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250000</v>
      </c>
      <c r="H655" s="104">
        <f>K266+K347</f>
        <v>250000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8083203.7800000003</v>
      </c>
      <c r="G660" s="19">
        <f>(L229+L309+L359)</f>
        <v>8406971.9100000001</v>
      </c>
      <c r="H660" s="19">
        <f>(L247+L328+L360)</f>
        <v>6439814.46</v>
      </c>
      <c r="I660" s="19">
        <f>SUM(F660:H660)</f>
        <v>22929990.150000002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114053.95414309962</v>
      </c>
      <c r="G661" s="19">
        <f>(L359/IF(SUM(L358:L360)=0,1,SUM(L358:L360))*(SUM(G97:G110)))</f>
        <v>108311.02585690039</v>
      </c>
      <c r="H661" s="19">
        <f>(L360/IF(SUM(L358:L360)=0,1,SUM(L358:L360))*(SUM(G97:G110)))</f>
        <v>0</v>
      </c>
      <c r="I661" s="19">
        <f>SUM(F661:H661)</f>
        <v>222364.98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261180.67</v>
      </c>
      <c r="G662" s="19">
        <f>(L226+L306)-(J226+J306)</f>
        <v>258088.92</v>
      </c>
      <c r="H662" s="19">
        <f>(L244+L325)-(J244+J325)</f>
        <v>280910.55</v>
      </c>
      <c r="I662" s="19">
        <f>SUM(F662:H662)</f>
        <v>800180.14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49238</v>
      </c>
      <c r="G663" s="199">
        <f>SUM(G575:G587)+SUM(I602:I604)+L612</f>
        <v>371155.59</v>
      </c>
      <c r="H663" s="199">
        <f>SUM(H575:H587)+SUM(J602:J604)+L613</f>
        <v>5925380.9900000002</v>
      </c>
      <c r="I663" s="19">
        <f>SUM(F663:H663)</f>
        <v>6345774.5800000001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7658731.1558569008</v>
      </c>
      <c r="G664" s="19">
        <f>G660-SUM(G661:G663)</f>
        <v>7669416.3741430994</v>
      </c>
      <c r="H664" s="19">
        <f>H660-SUM(H661:H663)</f>
        <v>233522.91999999993</v>
      </c>
      <c r="I664" s="19">
        <f>I660-SUM(I661:I663)</f>
        <v>15561670.450000003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427.46</v>
      </c>
      <c r="G665" s="248">
        <v>445.96</v>
      </c>
      <c r="H665" s="248"/>
      <c r="I665" s="19">
        <f>SUM(F665:H665)</f>
        <v>873.42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17916.84</v>
      </c>
      <c r="G667" s="19">
        <f>ROUND(G664/G665,2)</f>
        <v>17197.54</v>
      </c>
      <c r="H667" s="19" t="e">
        <f>ROUND(H664/H665,2)</f>
        <v>#DIV/0!</v>
      </c>
      <c r="I667" s="19">
        <f>ROUND(I664/I665,2)</f>
        <v>17816.939999999999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-233522.92</v>
      </c>
      <c r="I669" s="19">
        <f>SUM(F669:H669)</f>
        <v>-233522.92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17916.84</v>
      </c>
      <c r="G672" s="19">
        <f>ROUND((G664+G669)/(G665+G670),2)</f>
        <v>17197.54</v>
      </c>
      <c r="H672" s="19" t="e">
        <f>ROUND((H664+H669)/(H665+H670),2)</f>
        <v>#DIV/0!</v>
      </c>
      <c r="I672" s="19">
        <f>ROUND((I664+I669)/(I665+I670),2)</f>
        <v>17549.57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Hampstead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4733785.6800000006</v>
      </c>
      <c r="C9" s="229">
        <f>'DOE25'!G197+'DOE25'!G215+'DOE25'!G233+'DOE25'!G276+'DOE25'!G295+'DOE25'!G314</f>
        <v>2427138.54</v>
      </c>
    </row>
    <row r="10" spans="1:3" x14ac:dyDescent="0.2">
      <c r="A10" t="s">
        <v>779</v>
      </c>
      <c r="B10" s="240">
        <f>4226328.43+63917.84+23162</f>
        <v>4313408.2699999996</v>
      </c>
      <c r="C10" s="240">
        <v>2211599.7974102884</v>
      </c>
    </row>
    <row r="11" spans="1:3" x14ac:dyDescent="0.2">
      <c r="A11" t="s">
        <v>780</v>
      </c>
      <c r="B11" s="240">
        <v>213892.55</v>
      </c>
      <c r="C11" s="240">
        <v>109668.43169880833</v>
      </c>
    </row>
    <row r="12" spans="1:3" x14ac:dyDescent="0.2">
      <c r="A12" t="s">
        <v>781</v>
      </c>
      <c r="B12" s="240">
        <f>186207+20277.86</f>
        <v>206484.86</v>
      </c>
      <c r="C12" s="240">
        <v>105870.31089090293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4733785.68</v>
      </c>
      <c r="C13" s="231">
        <f>SUM(C10:C12)</f>
        <v>2427138.5399999996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2315225.9300000002</v>
      </c>
      <c r="C18" s="229">
        <f>'DOE25'!G198+'DOE25'!G216+'DOE25'!G234+'DOE25'!G277+'DOE25'!G296+'DOE25'!G315</f>
        <v>1110879.7099999997</v>
      </c>
    </row>
    <row r="19" spans="1:3" x14ac:dyDescent="0.2">
      <c r="A19" t="s">
        <v>779</v>
      </c>
      <c r="B19" s="240">
        <v>1204547.6200000001</v>
      </c>
      <c r="C19" s="240">
        <v>577959.79798256233</v>
      </c>
    </row>
    <row r="20" spans="1:3" x14ac:dyDescent="0.2">
      <c r="A20" t="s">
        <v>780</v>
      </c>
      <c r="B20" s="240">
        <f>825670.34+21427.69</f>
        <v>847098.02999999991</v>
      </c>
      <c r="C20" s="240">
        <v>406450.18773954856</v>
      </c>
    </row>
    <row r="21" spans="1:3" x14ac:dyDescent="0.2">
      <c r="A21" t="s">
        <v>781</v>
      </c>
      <c r="B21" s="240">
        <f>186153+77427.28</f>
        <v>263580.28000000003</v>
      </c>
      <c r="C21" s="240">
        <v>126469.72427788883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2315225.9299999997</v>
      </c>
      <c r="C22" s="231">
        <f>SUM(C19:C21)</f>
        <v>1110879.7099999997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49466.44</v>
      </c>
      <c r="C36" s="235">
        <f>'DOE25'!G200+'DOE25'!G218+'DOE25'!G236+'DOE25'!G279+'DOE25'!G298+'DOE25'!G317</f>
        <v>25680.37</v>
      </c>
    </row>
    <row r="37" spans="1:3" x14ac:dyDescent="0.2">
      <c r="A37" t="s">
        <v>779</v>
      </c>
      <c r="B37" s="240">
        <v>45766.44</v>
      </c>
      <c r="C37" s="240">
        <v>23759.524897744814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3700</v>
      </c>
      <c r="C39" s="240">
        <v>1920.8451022551853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49466.44</v>
      </c>
      <c r="C40" s="231">
        <f>SUM(C37:C39)</f>
        <v>25680.37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Hampstead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17008249.210000001</v>
      </c>
      <c r="D5" s="20">
        <f>SUM('DOE25'!L197:L200)+SUM('DOE25'!L215:L218)+SUM('DOE25'!L233:L236)-F5-G5</f>
        <v>16891013.699999999</v>
      </c>
      <c r="E5" s="243"/>
      <c r="F5" s="255">
        <f>SUM('DOE25'!J197:J200)+SUM('DOE25'!J215:J218)+SUM('DOE25'!J233:J236)</f>
        <v>95090</v>
      </c>
      <c r="G5" s="53">
        <f>SUM('DOE25'!K197:K200)+SUM('DOE25'!K215:K218)+SUM('DOE25'!K233:K236)</f>
        <v>22145.510000000002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1218557.52</v>
      </c>
      <c r="D6" s="20">
        <f>'DOE25'!L202+'DOE25'!L220+'DOE25'!L238-F6-G6</f>
        <v>1212681.02</v>
      </c>
      <c r="E6" s="243"/>
      <c r="F6" s="255">
        <f>'DOE25'!J202+'DOE25'!J220+'DOE25'!J238</f>
        <v>2614.9</v>
      </c>
      <c r="G6" s="53">
        <f>'DOE25'!K202+'DOE25'!K220+'DOE25'!K238</f>
        <v>3261.6</v>
      </c>
      <c r="H6" s="259"/>
    </row>
    <row r="7" spans="1:9" x14ac:dyDescent="0.2">
      <c r="A7" s="32">
        <v>2200</v>
      </c>
      <c r="B7" t="s">
        <v>834</v>
      </c>
      <c r="C7" s="245">
        <f t="shared" si="0"/>
        <v>353106.18</v>
      </c>
      <c r="D7" s="20">
        <f>'DOE25'!L203+'DOE25'!L221+'DOE25'!L239-F7-G7</f>
        <v>344826.42</v>
      </c>
      <c r="E7" s="243"/>
      <c r="F7" s="255">
        <f>'DOE25'!J203+'DOE25'!J221+'DOE25'!J239</f>
        <v>1776.99</v>
      </c>
      <c r="G7" s="53">
        <f>'DOE25'!K203+'DOE25'!K221+'DOE25'!K239</f>
        <v>6502.77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273161.24</v>
      </c>
      <c r="D8" s="243"/>
      <c r="E8" s="20">
        <f>'DOE25'!L204+'DOE25'!L222+'DOE25'!L240-F8-G8-D9-D11</f>
        <v>266377.03999999998</v>
      </c>
      <c r="F8" s="255">
        <f>'DOE25'!J204+'DOE25'!J222+'DOE25'!J240</f>
        <v>0</v>
      </c>
      <c r="G8" s="53">
        <f>'DOE25'!K204+'DOE25'!K222+'DOE25'!K240</f>
        <v>6784.2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54033.11</v>
      </c>
      <c r="D9" s="244">
        <f>4000+2660+1250+5505.38+25672.71+14945.02</f>
        <v>54033.11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16009.5</v>
      </c>
      <c r="D10" s="243"/>
      <c r="E10" s="244">
        <v>16009.5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110123.02</v>
      </c>
      <c r="D11" s="244">
        <v>110123.02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1011201.1199999999</v>
      </c>
      <c r="D12" s="20">
        <f>'DOE25'!L205+'DOE25'!L223+'DOE25'!L241-F12-G12</f>
        <v>1003819.9799999999</v>
      </c>
      <c r="E12" s="243"/>
      <c r="F12" s="255">
        <f>'DOE25'!J205+'DOE25'!J223+'DOE25'!J241</f>
        <v>1982.1399999999999</v>
      </c>
      <c r="G12" s="53">
        <f>'DOE25'!K205+'DOE25'!K223+'DOE25'!K241</f>
        <v>5399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1415180.2200000002</v>
      </c>
      <c r="D14" s="20">
        <f>'DOE25'!L207+'DOE25'!L225+'DOE25'!L243-F14-G14</f>
        <v>1396227.5800000003</v>
      </c>
      <c r="E14" s="243"/>
      <c r="F14" s="255">
        <f>'DOE25'!J207+'DOE25'!J225+'DOE25'!J243</f>
        <v>14912.490000000002</v>
      </c>
      <c r="G14" s="53">
        <f>'DOE25'!K207+'DOE25'!K225+'DOE25'!K243</f>
        <v>4040.1499999999996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800180.14</v>
      </c>
      <c r="D15" s="20">
        <f>'DOE25'!L208+'DOE25'!L226+'DOE25'!L244-F15-G15</f>
        <v>800180.14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14941.6</v>
      </c>
      <c r="D16" s="243"/>
      <c r="E16" s="20">
        <f>'DOE25'!L209+'DOE25'!L227+'DOE25'!L245-F16-G16</f>
        <v>14941.6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15386.759999999998</v>
      </c>
      <c r="D19" s="20">
        <f>'DOE25'!L253-F19-G19</f>
        <v>15386.759999999998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225189.48</v>
      </c>
      <c r="D22" s="243"/>
      <c r="E22" s="243"/>
      <c r="F22" s="255">
        <f>'DOE25'!L255+'DOE25'!L336</f>
        <v>225189.48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205897.06999999998</v>
      </c>
      <c r="D29" s="20">
        <f>'DOE25'!L358+'DOE25'!L359+'DOE25'!L360-'DOE25'!I367-F29-G29</f>
        <v>195897.06999999998</v>
      </c>
      <c r="E29" s="243"/>
      <c r="F29" s="255">
        <f>'DOE25'!J358+'DOE25'!J359+'DOE25'!J360</f>
        <v>0</v>
      </c>
      <c r="G29" s="53">
        <f>'DOE25'!K358+'DOE25'!K359+'DOE25'!K360</f>
        <v>10000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374829.69000000006</v>
      </c>
      <c r="D31" s="20">
        <f>'DOE25'!L290+'DOE25'!L309+'DOE25'!L328+'DOE25'!L333+'DOE25'!L334+'DOE25'!L335-F31-G31</f>
        <v>366314.70000000007</v>
      </c>
      <c r="E31" s="243"/>
      <c r="F31" s="255">
        <f>'DOE25'!J290+'DOE25'!J309+'DOE25'!J328+'DOE25'!J333+'DOE25'!J334+'DOE25'!J335</f>
        <v>8514.99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22390503.500000004</v>
      </c>
      <c r="E33" s="246">
        <f>SUM(E5:E31)</f>
        <v>297328.13999999996</v>
      </c>
      <c r="F33" s="246">
        <f>SUM(F5:F31)</f>
        <v>350080.99</v>
      </c>
      <c r="G33" s="246">
        <f>SUM(G5:G31)</f>
        <v>58133.23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297328.13999999996</v>
      </c>
      <c r="E35" s="249"/>
    </row>
    <row r="36" spans="2:8" ht="12" thickTop="1" x14ac:dyDescent="0.2">
      <c r="B36" t="s">
        <v>815</v>
      </c>
      <c r="D36" s="20">
        <f>D33</f>
        <v>22390503.500000004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14" sqref="A1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1217875.57</v>
      </c>
      <c r="D8" s="95">
        <f>'DOE25'!G9</f>
        <v>83389.87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488687.59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161815.06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19774.52</v>
      </c>
      <c r="D12" s="95">
        <f>'DOE25'!G13</f>
        <v>2606.1999999999998</v>
      </c>
      <c r="E12" s="95">
        <f>'DOE25'!H13</f>
        <v>108869.51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3945.28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8332.56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1403410.4300000002</v>
      </c>
      <c r="D18" s="41">
        <f>SUM(D8:D17)</f>
        <v>94328.62999999999</v>
      </c>
      <c r="E18" s="41">
        <f>SUM(E8:E17)</f>
        <v>108869.51</v>
      </c>
      <c r="F18" s="41">
        <f>SUM(F8:F17)</f>
        <v>0</v>
      </c>
      <c r="G18" s="41">
        <f>SUM(G8:G17)</f>
        <v>488687.59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58568.39</v>
      </c>
      <c r="E21" s="95">
        <f>'DOE25'!H22</f>
        <v>103246.67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1739.11</v>
      </c>
      <c r="D23" s="95">
        <f>'DOE25'!G24</f>
        <v>25370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62816.07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1848</v>
      </c>
      <c r="D29" s="95">
        <f>'DOE25'!G30</f>
        <v>10390.24</v>
      </c>
      <c r="E29" s="95">
        <f>'DOE25'!H30</f>
        <v>5622.84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66403.179999999993</v>
      </c>
      <c r="D31" s="41">
        <f>SUM(D21:D30)</f>
        <v>94328.63</v>
      </c>
      <c r="E31" s="41">
        <f>SUM(E21:E30)</f>
        <v>108869.51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33737.370000000003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488687.59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1028269.8799999999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1337007.25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488687.59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1403410.43</v>
      </c>
      <c r="D51" s="41">
        <f>D50+D31</f>
        <v>94328.63</v>
      </c>
      <c r="E51" s="41">
        <f>E50+E31</f>
        <v>108869.51</v>
      </c>
      <c r="F51" s="41">
        <f>F50+F31</f>
        <v>0</v>
      </c>
      <c r="G51" s="41">
        <f>G50+G31</f>
        <v>488687.59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16266274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164438.14000000001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107.44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665.59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222364.98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239788.55</v>
      </c>
      <c r="D61" s="95">
        <f>SUM('DOE25'!G98:G110)</f>
        <v>0</v>
      </c>
      <c r="E61" s="95">
        <f>SUM('DOE25'!H98:H110)</f>
        <v>9202.14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404334.13</v>
      </c>
      <c r="D62" s="130">
        <f>SUM(D57:D61)</f>
        <v>222364.98</v>
      </c>
      <c r="E62" s="130">
        <f>SUM(E57:E61)</f>
        <v>9202.14</v>
      </c>
      <c r="F62" s="130">
        <f>SUM(F57:F61)</f>
        <v>0</v>
      </c>
      <c r="G62" s="130">
        <f>SUM(G57:G61)</f>
        <v>665.59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16670608.130000001</v>
      </c>
      <c r="D63" s="22">
        <f>D56+D62</f>
        <v>222364.98</v>
      </c>
      <c r="E63" s="22">
        <f>E56+E62</f>
        <v>9202.14</v>
      </c>
      <c r="F63" s="22">
        <f>F56+F62</f>
        <v>0</v>
      </c>
      <c r="G63" s="22">
        <f>G56+G62</f>
        <v>665.59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2819806.71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2352691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5174379.6900000004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170413.5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3339.07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170413.5</v>
      </c>
      <c r="D78" s="130">
        <f>SUM(D72:D77)</f>
        <v>3339.07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5344793.1900000004</v>
      </c>
      <c r="D81" s="130">
        <f>SUM(D79:D80)+D78+D70</f>
        <v>3339.07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99942.92</v>
      </c>
      <c r="D88" s="95">
        <f>SUM('DOE25'!G153:G161)</f>
        <v>65660.61</v>
      </c>
      <c r="E88" s="95">
        <f>SUM('DOE25'!H153:H161)</f>
        <v>368452.55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99942.92</v>
      </c>
      <c r="D91" s="131">
        <f>SUM(D85:D90)</f>
        <v>65660.61</v>
      </c>
      <c r="E91" s="131">
        <f>SUM(E85:E90)</f>
        <v>368452.55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5062.4399999999996</v>
      </c>
      <c r="E96" s="95">
        <f>'DOE25'!H179</f>
        <v>0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5062.4399999999996</v>
      </c>
      <c r="E103" s="86">
        <f>SUM(E93:E102)</f>
        <v>0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765</v>
      </c>
      <c r="C104" s="86">
        <f>C63+C81+C91+C103</f>
        <v>22115344.240000002</v>
      </c>
      <c r="D104" s="86">
        <f>D63+D81+D91+D103</f>
        <v>296427.10000000003</v>
      </c>
      <c r="E104" s="86">
        <f>E63+E81+E91+E103</f>
        <v>377654.69</v>
      </c>
      <c r="F104" s="86">
        <f>F63+F81+F91+F103</f>
        <v>0</v>
      </c>
      <c r="G104" s="86">
        <f>G63+G81+G103</f>
        <v>250665.59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12021327.41</v>
      </c>
      <c r="D109" s="24" t="s">
        <v>289</v>
      </c>
      <c r="E109" s="95">
        <f>('DOE25'!L276)+('DOE25'!L295)+('DOE25'!L314)</f>
        <v>64922.840000000004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4889973.2300000004</v>
      </c>
      <c r="D110" s="24" t="s">
        <v>289</v>
      </c>
      <c r="E110" s="95">
        <f>('DOE25'!L277)+('DOE25'!L296)+('DOE25'!L315)</f>
        <v>234220.03000000003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96948.57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15386.759999999998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17023635.970000003</v>
      </c>
      <c r="D115" s="86">
        <f>SUM(D109:D114)</f>
        <v>0</v>
      </c>
      <c r="E115" s="86">
        <f>SUM(E109:E114)</f>
        <v>299142.87000000005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1218557.52</v>
      </c>
      <c r="D118" s="24" t="s">
        <v>289</v>
      </c>
      <c r="E118" s="95">
        <f>+('DOE25'!L281)+('DOE25'!L300)+('DOE25'!L319)</f>
        <v>46641.53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353106.18</v>
      </c>
      <c r="D119" s="24" t="s">
        <v>289</v>
      </c>
      <c r="E119" s="95">
        <f>+('DOE25'!L282)+('DOE25'!L301)+('DOE25'!L320)</f>
        <v>29045.29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437317.37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1011201.1199999999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1415180.2200000002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800180.14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14941.6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296427.09999999998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5250484.1499999994</v>
      </c>
      <c r="D128" s="86">
        <f>SUM(D118:D127)</f>
        <v>296427.09999999998</v>
      </c>
      <c r="E128" s="86">
        <f>SUM(E118:E127)</f>
        <v>75686.820000000007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222364.48</v>
      </c>
      <c r="D130" s="24" t="s">
        <v>289</v>
      </c>
      <c r="E130" s="129">
        <f>'DOE25'!L336</f>
        <v>2825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5062.4399999999996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250665.59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-665.58999999999651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477426.92000000004</v>
      </c>
      <c r="D144" s="141">
        <f>SUM(D130:D143)</f>
        <v>0</v>
      </c>
      <c r="E144" s="141">
        <f>SUM(E130:E143)</f>
        <v>2825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22751547.040000003</v>
      </c>
      <c r="D145" s="86">
        <f>(D115+D128+D144)</f>
        <v>296427.09999999998</v>
      </c>
      <c r="E145" s="86">
        <f>(E115+E128+E144)</f>
        <v>377654.69000000006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H47" sqref="H4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Hampstead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17917</v>
      </c>
    </row>
    <row r="5" spans="1:4" x14ac:dyDescent="0.2">
      <c r="B5" t="s">
        <v>704</v>
      </c>
      <c r="C5" s="179">
        <f>IF('DOE25'!G665+'DOE25'!G670=0,0,ROUND('DOE25'!G672,0))</f>
        <v>17198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17550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12086250</v>
      </c>
      <c r="D10" s="182">
        <f>ROUND((C10/$C$28)*100,1)</f>
        <v>53.2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5124193</v>
      </c>
      <c r="D11" s="182">
        <f>ROUND((C11/$C$28)*100,1)</f>
        <v>22.6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96949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1265199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382151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452259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1011201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1415180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800180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15387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74062.01999999999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22723011.02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225189</v>
      </c>
    </row>
    <row r="30" spans="1:4" x14ac:dyDescent="0.2">
      <c r="B30" s="187" t="s">
        <v>729</v>
      </c>
      <c r="C30" s="180">
        <f>SUM(C28:C29)</f>
        <v>22948200.02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16266274</v>
      </c>
      <c r="D35" s="182">
        <f t="shared" ref="D35:D40" si="1">ROUND((C35/$C$41)*100,1)</f>
        <v>72.099999999999994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414201.8599999994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5172498</v>
      </c>
      <c r="D37" s="182">
        <f t="shared" si="1"/>
        <v>22.9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175635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534056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22562664.859999999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Hampstead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2016-08-23T14:41:07Z</cp:lastPrinted>
  <dcterms:created xsi:type="dcterms:W3CDTF">1997-12-04T19:04:30Z</dcterms:created>
  <dcterms:modified xsi:type="dcterms:W3CDTF">2016-09-02T11:51:09Z</dcterms:modified>
</cp:coreProperties>
</file>