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C20" i="12"/>
  <c r="C21" i="12"/>
  <c r="B20" i="12"/>
  <c r="B19" i="12"/>
  <c r="B21" i="12"/>
  <c r="B11" i="12"/>
  <c r="B10" i="12"/>
  <c r="F49" i="1" l="1"/>
  <c r="H255" i="1"/>
  <c r="F13" i="1" l="1"/>
  <c r="F29" i="1"/>
  <c r="G284" i="1" l="1"/>
  <c r="F284" i="1"/>
  <c r="K282" i="1"/>
  <c r="I282" i="1"/>
  <c r="H282" i="1"/>
  <c r="G282" i="1"/>
  <c r="F282" i="1"/>
  <c r="H281" i="1"/>
  <c r="J277" i="1"/>
  <c r="I277" i="1"/>
  <c r="H277" i="1"/>
  <c r="G277" i="1"/>
  <c r="F277" i="1"/>
  <c r="J276" i="1"/>
  <c r="I276" i="1"/>
  <c r="H276" i="1"/>
  <c r="G276" i="1"/>
  <c r="F276" i="1"/>
  <c r="G562" i="1"/>
  <c r="F562" i="1"/>
  <c r="H521" i="1"/>
  <c r="H531" i="1"/>
  <c r="F531" i="1"/>
  <c r="H526" i="1"/>
  <c r="F526" i="1"/>
  <c r="F521" i="1"/>
  <c r="J521" i="1" l="1"/>
  <c r="I521" i="1"/>
  <c r="G521" i="1"/>
  <c r="F63" i="1"/>
  <c r="G205" i="1"/>
  <c r="G203" i="1"/>
  <c r="I250" i="1" l="1"/>
  <c r="H207" i="1"/>
  <c r="I207" i="1"/>
  <c r="F207" i="1" l="1"/>
  <c r="K205" i="1"/>
  <c r="I205" i="1"/>
  <c r="H205" i="1"/>
  <c r="F205" i="1"/>
  <c r="K204" i="1"/>
  <c r="I204" i="1"/>
  <c r="H204" i="1"/>
  <c r="F204" i="1"/>
  <c r="H203" i="1"/>
  <c r="F203" i="1"/>
  <c r="J203" i="1"/>
  <c r="I203" i="1"/>
  <c r="I202" i="1"/>
  <c r="H202" i="1"/>
  <c r="F202" i="1"/>
  <c r="H200" i="1"/>
  <c r="F200" i="1"/>
  <c r="I198" i="1"/>
  <c r="H198" i="1"/>
  <c r="J198" i="1"/>
  <c r="F198" i="1"/>
  <c r="J197" i="1"/>
  <c r="I197" i="1"/>
  <c r="H197" i="1"/>
  <c r="F197" i="1"/>
  <c r="G502" i="1"/>
  <c r="G499" i="1"/>
  <c r="I358" i="1"/>
  <c r="F358" i="1"/>
  <c r="H397" i="1"/>
  <c r="J468" i="1"/>
  <c r="H159" i="1" l="1"/>
  <c r="H155" i="1"/>
  <c r="H15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0" i="2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E120" i="2" s="1"/>
  <c r="E128" i="2" s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7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19" i="2"/>
  <c r="C120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F338" i="1" s="1"/>
  <c r="F352" i="1" s="1"/>
  <c r="G309" i="1"/>
  <c r="G338" i="1" s="1"/>
  <c r="G352" i="1" s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H476" i="1" s="1"/>
  <c r="H624" i="1" s="1"/>
  <c r="J624" i="1" s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A31" i="12"/>
  <c r="C70" i="2"/>
  <c r="A40" i="12"/>
  <c r="D62" i="2"/>
  <c r="D63" i="2" s="1"/>
  <c r="D18" i="13"/>
  <c r="C18" i="13" s="1"/>
  <c r="D15" i="13"/>
  <c r="C15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C81" i="2" s="1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I476" i="1"/>
  <c r="H625" i="1" s="1"/>
  <c r="J625" i="1" s="1"/>
  <c r="G476" i="1"/>
  <c r="H623" i="1" s="1"/>
  <c r="J623" i="1" s="1"/>
  <c r="F169" i="1"/>
  <c r="J140" i="1"/>
  <c r="F571" i="1"/>
  <c r="H257" i="1"/>
  <c r="H271" i="1" s="1"/>
  <c r="I552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F22" i="13"/>
  <c r="H25" i="13"/>
  <c r="C25" i="13" s="1"/>
  <c r="J651" i="1"/>
  <c r="J634" i="1"/>
  <c r="H571" i="1"/>
  <c r="L560" i="1"/>
  <c r="J545" i="1"/>
  <c r="H338" i="1"/>
  <c r="H352" i="1" s="1"/>
  <c r="G192" i="1"/>
  <c r="H192" i="1"/>
  <c r="F552" i="1"/>
  <c r="C35" i="10"/>
  <c r="D5" i="13"/>
  <c r="C5" i="13" s="1"/>
  <c r="E16" i="13"/>
  <c r="J655" i="1"/>
  <c r="J645" i="1"/>
  <c r="L570" i="1"/>
  <c r="I571" i="1"/>
  <c r="I545" i="1"/>
  <c r="J636" i="1"/>
  <c r="G36" i="2"/>
  <c r="L565" i="1"/>
  <c r="G545" i="1"/>
  <c r="H545" i="1"/>
  <c r="K551" i="1"/>
  <c r="C22" i="13"/>
  <c r="C138" i="2"/>
  <c r="C16" i="13"/>
  <c r="H33" i="13"/>
  <c r="A13" i="12" l="1"/>
  <c r="J617" i="1"/>
  <c r="F476" i="1"/>
  <c r="H622" i="1" s="1"/>
  <c r="J622" i="1" s="1"/>
  <c r="L545" i="1"/>
  <c r="K549" i="1"/>
  <c r="K552" i="1"/>
  <c r="C62" i="2"/>
  <c r="C63" i="2" s="1"/>
  <c r="C104" i="2" s="1"/>
  <c r="J649" i="1"/>
  <c r="C10" i="10"/>
  <c r="F257" i="1"/>
  <c r="F271" i="1" s="1"/>
  <c r="E33" i="13"/>
  <c r="D35" i="13" s="1"/>
  <c r="D7" i="13"/>
  <c r="C7" i="13" s="1"/>
  <c r="C115" i="2"/>
  <c r="J640" i="1"/>
  <c r="K338" i="1"/>
  <c r="K352" i="1" s="1"/>
  <c r="L309" i="1"/>
  <c r="L338" i="1" s="1"/>
  <c r="L352" i="1" s="1"/>
  <c r="G633" i="1" s="1"/>
  <c r="J633" i="1" s="1"/>
  <c r="E109" i="2"/>
  <c r="E115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G660" i="1" l="1"/>
  <c r="G664" i="1" s="1"/>
  <c r="G672" i="1" s="1"/>
  <c r="C5" i="10" s="1"/>
  <c r="D31" i="13"/>
  <c r="C31" i="13" s="1"/>
  <c r="G667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41" i="10" l="1"/>
  <c r="D38" i="10" s="1"/>
  <c r="D37" i="10" l="1"/>
  <c r="D36" i="10"/>
  <c r="D35" i="10"/>
  <c r="D40" i="10"/>
  <c r="D39" i="10"/>
  <c r="D41" i="10" l="1"/>
  <c r="L205" i="1"/>
  <c r="D12" i="13" s="1"/>
  <c r="I211" i="1"/>
  <c r="I257" i="1" s="1"/>
  <c r="I271" i="1" s="1"/>
  <c r="L211" i="1" l="1"/>
  <c r="L257" i="1" s="1"/>
  <c r="L271" i="1" s="1"/>
  <c r="G632" i="1" s="1"/>
  <c r="H656" i="1" s="1"/>
  <c r="C121" i="2"/>
  <c r="C128" i="2" s="1"/>
  <c r="C145" i="2" s="1"/>
  <c r="C12" i="13"/>
  <c r="D33" i="13"/>
  <c r="D36" i="13" s="1"/>
  <c r="C18" i="10"/>
  <c r="J632" i="1" l="1"/>
  <c r="F660" i="1"/>
  <c r="C28" i="10"/>
  <c r="D18" i="10" s="1"/>
  <c r="I660" i="1"/>
  <c r="I664" i="1" s="1"/>
  <c r="F664" i="1"/>
  <c r="F672" i="1" l="1"/>
  <c r="C4" i="10" s="1"/>
  <c r="F667" i="1"/>
  <c r="I672" i="1"/>
  <c r="C7" i="10" s="1"/>
  <c r="I667" i="1"/>
  <c r="C30" i="10"/>
  <c r="D23" i="10"/>
  <c r="D17" i="10"/>
  <c r="D10" i="10"/>
  <c r="D11" i="10"/>
  <c r="D22" i="10"/>
  <c r="D15" i="10"/>
  <c r="D19" i="10"/>
  <c r="D26" i="10"/>
  <c r="D16" i="10"/>
  <c r="D20" i="10"/>
  <c r="D12" i="10"/>
  <c r="D13" i="10"/>
  <c r="D21" i="10"/>
  <c r="D27" i="10"/>
  <c r="D25" i="10"/>
  <c r="D24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<sst xmlns="http://schemas.openxmlformats.org/spreadsheetml/2006/main" count="3961" uniqueCount="919">
  <si>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</si>
  <si>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</si>
  <si>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</si>
  <si>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</si>
  <si>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</si>
  <si>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</si>
  <si>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</si>
  <si>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</si>
  <si>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</si>
  <si>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</si>
  <si>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</si>
  <si>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</si>
  <si>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</si>
  <si>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</si>
  <si>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</si>
  <si>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</si>
  <si>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</si>
  <si>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</si>
  <si>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</si>
  <si>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</si>
  <si>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</si>
  <si>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</si>
  <si>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</si>
  <si>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</si>
  <si>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</si>
  <si>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</si>
  <si>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</si>
  <si>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</si>
  <si>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</si>
  <si>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</si>
  <si>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</si>
  <si>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</si>
  <si>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</si>
  <si>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</si>
  <si>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</si>
  <si>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</si>
  <si>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</si>
  <si>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</si>
  <si>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</si>
  <si>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</si>
  <si>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</si>
  <si>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</si>
  <si>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</si>
  <si>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</si>
  <si>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</si>
  <si>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</si>
  <si>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</si>
  <si>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</si>
  <si>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</si>
  <si>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</si>
  <si>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</si>
  <si>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</si>
  <si>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</si>
  <si>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</si>
  <si>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</si>
  <si>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</si>
  <si>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</si>
  <si>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</si>
  <si>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</si>
  <si>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</si>
  <si>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</si>
  <si>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</si>
  <si>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</si>
  <si>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</si>
  <si>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</si>
  <si>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</si>
  <si>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</si>
  <si>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</si>
  <si>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</si>
  <si>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</si>
  <si>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</si>
  <si>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</si>
  <si>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</si>
  <si>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</si>
  <si>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</si>
  <si>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</si>
  <si>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</si>
  <si>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</si>
  <si>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</si>
  <si>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</si>
  <si>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</si>
  <si>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</si>
  <si>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</si>
  <si>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</si>
  <si>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</si>
  <si>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</si>
  <si>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</si>
  <si>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</si>
  <si>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</si>
  <si>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</si>
  <si>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</si>
  <si>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</si>
  <si>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</si>
  <si>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</si>
  <si>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</si>
  <si>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</si>
  <si>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</si>
  <si>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</si>
  <si>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</si>
  <si>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</si>
  <si>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</si>
  <si>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</si>
  <si>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</si>
  <si>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</si>
  <si>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</si>
  <si>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</si>
  <si>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</si>
  <si>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</si>
  <si>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</si>
  <si>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</si>
  <si>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</si>
  <si>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</si>
  <si>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</si>
  <si>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</si>
  <si>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</si>
  <si>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</si>
  <si>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</si>
  <si>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</si>
  <si>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</si>
  <si>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</si>
  <si>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</si>
  <si>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</si>
  <si>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</si>
  <si>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</si>
  <si>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</si>
  <si>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</si>
  <si>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</si>
  <si>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</si>
  <si>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</si>
  <si>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</si>
  <si>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</si>
  <si>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</si>
  <si>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</si>
  <si>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</si>
  <si>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</si>
  <si>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</si>
  <si>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</si>
  <si>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</si>
  <si>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</si>
  <si>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</si>
  <si>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</si>
  <si>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</si>
  <si>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</si>
  <si>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</si>
  <si>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</si>
  <si>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</si>
  <si>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</si>
  <si>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</si>
  <si>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</si>
  <si>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</si>
  <si>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</si>
  <si>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</si>
  <si>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</si>
  <si>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</si>
  <si>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</si>
  <si>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</si>
  <si>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</si>
  <si>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</si>
  <si>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</si>
  <si>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</si>
  <si>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</si>
  <si>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</si>
  <si>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</si>
  <si>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</si>
  <si>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</si>
  <si>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</si>
  <si>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</si>
  <si>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</si>
  <si>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</si>
  <si>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</si>
  <si>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</si>
  <si>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</si>
  <si>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</si>
  <si>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</si>
  <si>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</si>
  <si>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</si>
  <si>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</si>
  <si>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</si>
  <si>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</si>
  <si>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</si>
  <si>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</si>
  <si>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</si>
  <si>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</si>
  <si>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</si>
  <si>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</si>
  <si>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</si>
  <si>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</si>
  <si>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</si>
  <si>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</si>
  <si>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</si>
  <si>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</si>
  <si>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</si>
  <si>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</si>
  <si>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</si>
  <si>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</si>
  <si>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</si>
  <si>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</si>
  <si>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</si>
  <si>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</si>
  <si>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</si>
  <si>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</si>
  <si>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</si>
  <si>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</si>
  <si>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</si>
  <si>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</si>
  <si>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</si>
  <si>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</si>
  <si>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</si>
  <si>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</si>
  <si>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</si>
  <si>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</si>
  <si>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</si>
  <si>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</si>
  <si>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</si>
  <si>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</si>
  <si>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</si>
  <si>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</si>
  <si>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</si>
  <si>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</si>
  <si>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</si>
  <si>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</si>
  <si>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</si>
  <si>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</si>
  <si>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</si>
  <si>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</si>
  <si>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</si>
  <si>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</si>
  <si>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</si>
  <si>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</si>
  <si>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</si>
  <si>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</si>
  <si>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</si>
  <si>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</si>
  <si>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</si>
  <si>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</si>
  <si>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</si>
  <si>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</si>
  <si>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</si>
  <si>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</si>
  <si>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</si>
  <si>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</si>
  <si>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</si>
  <si>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</si>
  <si>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</si>
  <si>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</si>
  <si>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</si>
  <si>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</si>
  <si>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</si>
  <si>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</si>
  <si>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</si>
  <si>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</si>
  <si>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</si>
  <si>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</si>
  <si>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</si>
  <si>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</si>
  <si>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</si>
  <si>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</si>
  <si>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</si>
  <si>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</si>
  <si>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</si>
  <si>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</si>
  <si>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</si>
  <si>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</si>
  <si>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</si>
  <si>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</si>
  <si>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</si>
  <si>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</si>
  <si>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</si>
  <si>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</si>
  <si>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</si>
  <si>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</si>
  <si>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</si>
  <si>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</si>
  <si>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</si>
  <si>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</si>
  <si>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</si>
  <si>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</si>
  <si>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</si>
  <si>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</si>
  <si>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</si>
  <si>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</si>
  <si>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</si>
  <si>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</si>
  <si>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</si>
  <si>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</si>
  <si>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</si>
  <si>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</si>
  <si>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</si>
  <si>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</si>
  <si>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</si>
  <si>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</si>
  <si>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</si>
  <si>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</si>
  <si>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</si>
  <si>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</si>
  <si>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</si>
  <si>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</si>
  <si>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</si>
  <si>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</si>
  <si>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</si>
  <si>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</si>
  <si>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</si>
  <si>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</si>
  <si>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</si>
  <si>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</si>
  <si>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</si>
  <si>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</si>
  <si>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</si>
  <si>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</si>
  <si>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</si>
  <si>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</si>
  <si>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</si>
  <si>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</si>
  <si>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</si>
  <si>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</si>
  <si>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</si>
  <si>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</si>
  <si>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</si>
  <si>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</si>
  <si>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</si>
  <si>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</si>
  <si>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</si>
  <si>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</si>
  <si>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</si>
  <si>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</si>
  <si>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</si>
  <si>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</si>
  <si>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</si>
  <si>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</si>
  <si>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</si>
  <si>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</si>
  <si>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</si>
  <si>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</si>
  <si>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</si>
  <si>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</si>
  <si>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</si>
  <si>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</si>
  <si>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</si>
  <si>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</si>
  <si>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</si>
  <si>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</si>
  <si>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</si>
  <si>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</si>
  <si>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</si>
  <si>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</si>
  <si>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</si>
  <si>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</si>
  <si>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</si>
  <si>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</si>
  <si>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</si>
  <si>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</si>
  <si>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</si>
  <si>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</si>
  <si>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</si>
  <si>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</si>
  <si>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</si>
  <si>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</si>
  <si>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</si>
  <si>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</si>
  <si>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</si>
  <si>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</si>
  <si>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</si>
  <si>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</si>
  <si>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</si>
  <si>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</si>
  <si>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</si>
  <si>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</si>
  <si>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</si>
  <si>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</si>
  <si>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</si>
  <si>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</si>
  <si>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</si>
  <si>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</si>
  <si>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</si>
  <si>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</si>
  <si>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</si>
  <si>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</si>
  <si>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</si>
  <si>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</si>
  <si>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</si>
  <si>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</si>
  <si>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</si>
  <si>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</si>
  <si>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</si>
  <si>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</si>
  <si>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</si>
  <si>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</si>
  <si>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</si>
  <si>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</si>
  <si>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</si>
  <si>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</si>
  <si>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</si>
  <si>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</si>
  <si>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</si>
  <si>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</si>
  <si>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</si>
  <si>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</si>
  <si>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</si>
  <si>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</si>
  <si>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</si>
  <si>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</si>
  <si>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</si>
  <si>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</si>
  <si>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</si>
  <si>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</si>
  <si>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</si>
  <si>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</si>
  <si>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</si>
  <si>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</si>
  <si>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</si>
  <si>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</si>
  <si>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</si>
  <si>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</si>
  <si>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</si>
  <si>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</si>
  <si>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</si>
  <si>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</si>
  <si>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</si>
  <si>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</si>
  <si>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</si>
  <si>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</si>
  <si>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</si>
  <si>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</si>
  <si>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</si>
  <si>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</si>
  <si>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</si>
  <si>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</si>
  <si>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</si>
  <si>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</si>
  <si>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</si>
  <si>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</si>
  <si>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</si>
  <si>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</si>
  <si>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</si>
  <si>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</si>
  <si>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</si>
  <si>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</si>
  <si>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</si>
  <si>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</si>
  <si>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</si>
  <si>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</si>
  <si>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</si>
  <si>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</si>
  <si>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</si>
  <si>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</si>
  <si>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</si>
  <si>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</si>
  <si>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</si>
  <si>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</si>
  <si>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</si>
  <si>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</si>
  <si>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</si>
  <si>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</si>
  <si>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</si>
  <si>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</si>
  <si>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</si>
  <si>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</si>
  <si>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</si>
  <si>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</si>
  <si>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</si>
  <si>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</si>
  <si>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</si>
  <si>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</si>
  <si>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</si>
  <si>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</si>
  <si>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</si>
  <si>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</si>
  <si>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</si>
  <si>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</si>
  <si>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</si>
  <si>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</si>
  <si>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</si>
  <si>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</si>
  <si>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</si>
  <si>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</si>
  <si>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</si>
  <si>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</si>
  <si>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</si>
  <si>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</si>
  <si>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</si>
  <si>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</si>
  <si>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</si>
  <si>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</si>
  <si>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</si>
  <si>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</si>
  <si>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</si>
  <si>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</si>
  <si>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</si>
  <si>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</si>
  <si>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</si>
  <si>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</si>
  <si>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</si>
  <si>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</si>
  <si>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</si>
  <si>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</si>
  <si>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</si>
  <si>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</si>
  <si>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</si>
  <si>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</si>
  <si>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</si>
  <si>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</si>
  <si>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</si>
  <si>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</si>
  <si>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</si>
  <si>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</si>
  <si>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</si>
  <si>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</si>
  <si>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</si>
  <si>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</si>
  <si>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</si>
  <si>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</si>
  <si>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</si>
  <si>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</si>
  <si>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</si>
  <si>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</si>
  <si>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</si>
  <si>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</si>
  <si>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</si>
  <si>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</si>
  <si>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</si>
  <si>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</si>
  <si>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</si>
  <si>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</si>
  <si>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</si>
  <si>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</si>
  <si>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</si>
  <si>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</si>
  <si>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</si>
  <si>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</si>
  <si>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</si>
  <si>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</si>
  <si>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</si>
  <si>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</si>
  <si>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</si>
  <si>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</si>
  <si>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</si>
  <si>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</si>
  <si>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</si>
  <si>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</si>
  <si>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</si>
  <si>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</si>
  <si>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</si>
  <si>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</si>
  <si>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</si>
  <si>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</si>
  <si>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</si>
  <si>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</si>
  <si>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</si>
  <si>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</si>
  <si>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</si>
  <si>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</si>
  <si>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</si>
  <si>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</si>
  <si>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</si>
  <si>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</si>
  <si>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</si>
  <si>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</si>
  <si>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</si>
  <si>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</si>
  <si>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</si>
  <si>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</si>
  <si>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</si>
  <si>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</si>
  <si>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</si>
  <si>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</si>
  <si>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</si>
  <si>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</si>
  <si>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</si>
  <si>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</si>
  <si>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</si>
  <si>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</si>
  <si>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</si>
  <si>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</si>
  <si>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</si>
  <si>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</si>
  <si>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</si>
  <si>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</si>
  <si>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</si>
  <si>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</si>
  <si>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</si>
  <si>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</si>
  <si>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</si>
  <si>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</si>
  <si>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</si>
  <si>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</si>
  <si>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</si>
  <si>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</si>
  <si>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</si>
  <si>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</si>
  <si>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</si>
  <si>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</si>
  <si>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</si>
  <si>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</si>
  <si>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</si>
  <si>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</si>
  <si>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</si>
  <si>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</si>
  <si>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</si>
  <si>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</si>
  <si>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</si>
  <si>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</si>
  <si>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</si>
  <si>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</si>
  <si>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</si>
  <si>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</si>
  <si>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</si>
  <si>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</si>
  <si>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</si>
  <si>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</si>
  <si>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</si>
  <si>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</si>
  <si>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</si>
  <si>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</si>
  <si>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</si>
  <si>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</si>
  <si>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</si>
  <si>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</si>
  <si>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</si>
  <si>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</si>
  <si>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</si>
  <si>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</si>
  <si>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</si>
  <si>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</si>
  <si>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</si>
  <si>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</si>
  <si>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</si>
  <si>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</si>
  <si>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</si>
  <si>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</si>
  <si>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</si>
  <si>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</si>
  <si>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</si>
  <si>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</si>
  <si>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</si>
  <si>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</si>
  <si>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</si>
  <si>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</si>
  <si>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</si>
  <si>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</si>
  <si>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</si>
  <si>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</si>
  <si>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</si>
  <si>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</si>
  <si>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</si>
  <si>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</si>
  <si>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</si>
  <si>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</si>
  <si>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</si>
  <si>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</si>
  <si>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</si>
  <si>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</si>
  <si>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</si>
  <si>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</si>
  <si>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</si>
  <si>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</si>
  <si>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</si>
  <si>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</si>
  <si>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</si>
  <si>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</si>
  <si>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</si>
  <si>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</si>
  <si>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</si>
  <si>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</si>
  <si>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</si>
  <si>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</si>
  <si>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</si>
  <si>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</si>
  <si>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</si>
  <si>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</si>
  <si>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</si>
  <si>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</si>
  <si>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</si>
  <si>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</si>
  <si>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</si>
  <si>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</si>
  <si>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</si>
  <si>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</si>
  <si>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</si>
  <si>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</si>
  <si>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</si>
  <si>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</si>
  <si>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</si>
  <si>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</si>
  <si>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</si>
  <si>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</si>
  <si>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</si>
  <si>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</si>
  <si>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</si>
  <si>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</si>
  <si>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</si>
  <si>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</si>
  <si>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</si>
  <si>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</si>
  <si>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</si>
  <si>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</si>
  <si>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</si>
  <si>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</si>
  <si>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</si>
  <si>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</si>
  <si>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</si>
  <si>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</si>
  <si>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</si>
  <si>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</si>
  <si>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</si>
  <si>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</si>
  <si>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</si>
  <si>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</si>
  <si>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</si>
  <si>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</si>
  <si>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</si>
  <si>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</si>
  <si>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</si>
  <si>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</si>
  <si>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</si>
  <si>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</si>
  <si>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</si>
  <si>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</si>
  <si>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</si>
  <si>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</si>
  <si>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</si>
  <si>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</si>
  <si>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</si>
  <si>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</si>
  <si>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</si>
  <si>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</si>
  <si>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</si>
  <si>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</si>
  <si>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</si>
  <si>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</si>
  <si>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</si>
  <si>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</si>
  <si>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</si>
  <si>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</si>
  <si>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</si>
  <si>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</si>
  <si>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</si>
  <si>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</si>
  <si>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</si>
  <si>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</si>
  <si>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</si>
  <si>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</si>
  <si>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</si>
  <si>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</si>
  <si>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</si>
  <si>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</si>
  <si>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</si>
  <si>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</si>
  <si>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</si>
  <si>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</si>
  <si>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</si>
  <si>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</si>
  <si>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</si>
  <si>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</si>
  <si>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</si>
  <si>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</si>
  <si>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</si>
  <si>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</si>
  <si>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</si>
  <si>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</si>
  <si>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</si>
  <si>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</si>
  <si>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</si>
  <si>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</si>
  <si>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</si>
  <si>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</si>
  <si>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</si>
  <si>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</si>
  <si>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</si>
  <si>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</si>
  <si>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</si>
  <si>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</si>
  <si>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</si>
  <si>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</si>
  <si>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</si>
  <si>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</si>
  <si>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</si>
  <si>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</si>
  <si>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</si>
  <si>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</si>
  <si>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</si>
  <si>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</si>
  <si>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</si>
  <si>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</si>
  <si>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</si>
  <si>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</si>
  <si>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</si>
  <si>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</si>
  <si>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</si>
  <si>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</si>
  <si>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</si>
  <si>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</si>
  <si>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</si>
  <si>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</si>
  <si>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</si>
  <si>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</si>
  <si>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</si>
  <si>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</si>
  <si>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</si>
  <si>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</si>
  <si>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</si>
  <si>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</si>
  <si>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</si>
  <si>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</si>
  <si>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</si>
  <si>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</si>
  <si>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</si>
  <si>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</si>
  <si>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</si>
  <si>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</si>
  <si>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</si>
  <si>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</si>
  <si>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</si>
  <si>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</si>
  <si>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</si>
  <si>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</si>
  <si>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</si>
  <si>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</si>
  <si>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</si>
  <si>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</si>
  <si>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</si>
  <si>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</si>
  <si>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</si>
  <si>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</si>
  <si>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</si>
  <si>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</si>
  <si>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</si>
  <si>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</si>
  <si>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</si>
  <si>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</si>
  <si>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</si>
  <si>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</si>
  <si>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</si>
  <si>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</si>
  <si>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</si>
  <si>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</si>
  <si>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</si>
  <si>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</si>
  <si>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</si>
  <si>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</si>
  <si>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</si>
  <si>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</si>
  <si>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</si>
  <si>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</si>
  <si>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</si>
  <si>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</si>
  <si>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</si>
  <si>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</si>
  <si>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</si>
  <si>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</si>
  <si>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</si>
  <si>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</si>
  <si>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</si>
  <si>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</si>
  <si>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</si>
  <si>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</si>
  <si>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</si>
  <si>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</si>
  <si>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</si>
  <si>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</si>
  <si>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</si>
  <si>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</si>
  <si>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</si>
  <si>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</si>
  <si>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</si>
  <si>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</si>
  <si>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</si>
  <si>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</si>
  <si>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</si>
  <si>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</si>
  <si>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</si>
  <si>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</si>
  <si>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</si>
  <si>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</si>
  <si>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</si>
  <si>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</si>
  <si>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</si>
  <si>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</si>
  <si>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</si>
  <si>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</si>
  <si>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</si>
  <si>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</si>
  <si>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</si>
  <si>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</si>
  <si>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</si>
  <si>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</si>
  <si>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</si>
  <si>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</si>
  <si>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</si>
  <si>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</si>
  <si>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</si>
  <si>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</si>
  <si>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</si>
  <si>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</si>
  <si>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</si>
  <si>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</si>
  <si>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</si>
  <si>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</si>
  <si>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</si>
  <si>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</si>
  <si>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</si>
  <si>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</si>
  <si>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</si>
  <si>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</si>
  <si>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</si>
  <si>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</si>
  <si>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</si>
  <si>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</si>
  <si>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</si>
  <si>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</si>
  <si>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</si>
  <si>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</si>
  <si>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</si>
  <si>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Hampton School District</t>
  </si>
  <si>
    <t>07/96</t>
  </si>
  <si>
    <t>07/98</t>
  </si>
  <si>
    <t>08/16</t>
  </si>
  <si>
    <t>08/18</t>
  </si>
  <si>
    <t>The General Fund "other" revenue is $167,525.17 from LGC Return of Surplus (health).</t>
  </si>
  <si>
    <t>The "Other Restricted Federal Aid through State" is E-Rate reimbursement related to a prior year filing.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</si>
</sst>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0" fillId="0" borderId="0" xfId="0" applyNumberFormat="1" applyFont="1" applyBorder="1" applyAlignment="1" applyProtection="1">
      <alignment horizontal="left"/>
      <protection locked="0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0" zoomScaleNormal="120" workbookViewId="0">
      <pane xSplit="5" ySplit="3" topLeftCell="F644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225</v>
      </c>
      <c r="C2" s="21">
        <v>225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850453.74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219114.77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129872</v>
      </c>
      <c r="G12" s="18">
        <v>7657.58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780+8585.24</f>
        <v>9365.24</v>
      </c>
      <c r="G13" s="18">
        <v>12761.72</v>
      </c>
      <c r="H13" s="18">
        <v>129872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989690.98</v>
      </c>
      <c r="G19" s="41">
        <f>SUM(G9:G18)</f>
        <v>20419.3</v>
      </c>
      <c r="H19" s="41">
        <f>SUM(H9:H18)</f>
        <v>129872</v>
      </c>
      <c r="I19" s="41">
        <f>SUM(I9:I18)</f>
        <v>0</v>
      </c>
      <c r="J19" s="41">
        <f>SUM(J9:J18)</f>
        <v>219114.77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7657.58</v>
      </c>
      <c r="G22" s="18"/>
      <c r="H22" s="18">
        <v>129872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v>400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33232.46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69754.04+8175.62</f>
        <v>77929.659999999989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163511.13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282330.82999999996</v>
      </c>
      <c r="G32" s="41">
        <f>SUM(G22:G31)</f>
        <v>400</v>
      </c>
      <c r="H32" s="41">
        <f>SUM(H22:H31)</f>
        <v>129872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20019.3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123019.14</v>
      </c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219114.77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142246.74+16866.82</f>
        <v>159113.56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425227.45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707360.15</v>
      </c>
      <c r="G51" s="41">
        <f>SUM(G35:G50)</f>
        <v>20019.3</v>
      </c>
      <c r="H51" s="41">
        <f>SUM(H35:H50)</f>
        <v>0</v>
      </c>
      <c r="I51" s="41">
        <f>SUM(I35:I50)</f>
        <v>0</v>
      </c>
      <c r="J51" s="41">
        <f>SUM(J35:J50)</f>
        <v>219114.77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989690.98</v>
      </c>
      <c r="G52" s="41">
        <f>G51+G32</f>
        <v>20419.3</v>
      </c>
      <c r="H52" s="41">
        <f>H51+H32</f>
        <v>129872</v>
      </c>
      <c r="I52" s="41">
        <f>I51+I32</f>
        <v>0</v>
      </c>
      <c r="J52" s="41">
        <f>J51+J32</f>
        <v>219114.77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14049081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14049081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7669.75+13893</f>
        <v>21562.75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21562.75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3445.31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289201.69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18820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36523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14781.44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68143.78</v>
      </c>
      <c r="G110" s="18"/>
      <c r="H110" s="18"/>
      <c r="I110" s="18"/>
      <c r="J110" s="18">
        <v>313.52999999999997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138268.22</v>
      </c>
      <c r="G111" s="41">
        <f>SUM(G96:G110)</f>
        <v>289201.69</v>
      </c>
      <c r="H111" s="41">
        <f>SUM(H96:H110)</f>
        <v>0</v>
      </c>
      <c r="I111" s="41">
        <f>SUM(I96:I110)</f>
        <v>0</v>
      </c>
      <c r="J111" s="41">
        <f>SUM(J96:J110)</f>
        <v>3758.84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14208911.970000001</v>
      </c>
      <c r="G112" s="41">
        <f>G60+G111</f>
        <v>289201.69</v>
      </c>
      <c r="H112" s="41">
        <f>H60+H79+H94+H111</f>
        <v>0</v>
      </c>
      <c r="I112" s="41">
        <f>I60+I111</f>
        <v>0</v>
      </c>
      <c r="J112" s="41">
        <f>J60+J111</f>
        <v>3758.84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4484556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4484556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129237.7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6871.81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129237.7</v>
      </c>
      <c r="G136" s="41">
        <f>SUM(G123:G135)</f>
        <v>6871.81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4613793.7</v>
      </c>
      <c r="G140" s="41">
        <f>G121+SUM(G136:G137)</f>
        <v>6871.81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2526.61+10115+156288.67</f>
        <v>168930.28000000003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1825+54523.62+955.86+41432.56+5191.48</f>
        <v>103928.52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139071.32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253228.91+8727.12</f>
        <v>261956.03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108776.84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12637.21</v>
      </c>
      <c r="G161" s="18"/>
      <c r="H161" s="18">
        <v>4747.7830000000004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121414.04999999999</v>
      </c>
      <c r="G162" s="41">
        <f>SUM(G150:G161)</f>
        <v>139071.32</v>
      </c>
      <c r="H162" s="41">
        <f>SUM(H150:H161)</f>
        <v>539562.61300000013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121414.04999999999</v>
      </c>
      <c r="G169" s="41">
        <f>G147+G162+SUM(G163:G168)</f>
        <v>139071.32</v>
      </c>
      <c r="H169" s="41">
        <f>H147+H162+SUM(H163:H168)</f>
        <v>539562.61300000013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18944119.720000003</v>
      </c>
      <c r="G193" s="47">
        <f>G112+G140+G169+G192</f>
        <v>435144.82</v>
      </c>
      <c r="H193" s="47">
        <f>H112+H140+H169+H192</f>
        <v>539562.61300000013</v>
      </c>
      <c r="I193" s="47">
        <f>I112+I140+I169+I192</f>
        <v>0</v>
      </c>
      <c r="J193" s="47">
        <f>J112+J140+J192</f>
        <v>3758.84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1784672.88+1858436.61+2318328.22+123111.01+142977.82+2227.88</f>
        <v>6229754.4200000009</v>
      </c>
      <c r="G197" s="18">
        <v>2624465.64</v>
      </c>
      <c r="H197" s="18">
        <f>(125+15548.11)+(359+12868.54)+(55.25+16031.79)</f>
        <v>44987.69</v>
      </c>
      <c r="I197" s="18">
        <f>(19913.95+18021.92+1682.78)+(22984.17+20147.29+1356.3)+(30336.97+20775.89+1960)</f>
        <v>137179.27000000002</v>
      </c>
      <c r="J197" s="18">
        <f>1430.21+990.94+485.9</f>
        <v>2907.05</v>
      </c>
      <c r="K197" s="18"/>
      <c r="L197" s="19">
        <f>SUM(F197:K197)</f>
        <v>9039294.0700000003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91115.8+856524+314043.16+1189.38+71708+(14170.91+9618.24+10808.7)</f>
        <v>1369178.19</v>
      </c>
      <c r="G198" s="18">
        <v>576806.22</v>
      </c>
      <c r="H198" s="18">
        <f>(102119.58-14170.91-9618.24-10808.7)+3312.54+692.34+1039.6+900+2018.82+186929.75</f>
        <v>262414.78000000003</v>
      </c>
      <c r="I198" s="18">
        <f>1920.72+3177.44</f>
        <v>5098.16</v>
      </c>
      <c r="J198" s="18">
        <f>585.39</f>
        <v>585.39</v>
      </c>
      <c r="K198" s="18">
        <v>1065</v>
      </c>
      <c r="L198" s="19">
        <f>SUM(F198:K198)</f>
        <v>2215147.7400000002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46374+38342.44+1750.1</f>
        <v>86466.540000000008</v>
      </c>
      <c r="G200" s="18">
        <v>17454.14</v>
      </c>
      <c r="H200" s="18">
        <f>8324.27+27500</f>
        <v>35824.270000000004</v>
      </c>
      <c r="I200" s="18">
        <v>17811.55</v>
      </c>
      <c r="J200" s="18"/>
      <c r="K200" s="18"/>
      <c r="L200" s="19">
        <f>SUM(F200:K200)</f>
        <v>157556.5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269966+46070+204130+19567+152720+201248.5+21215+136814</f>
        <v>1051730.5</v>
      </c>
      <c r="G202" s="18">
        <v>443072.13</v>
      </c>
      <c r="H202" s="18">
        <f>312.21+24121.35</f>
        <v>24433.559999999998</v>
      </c>
      <c r="I202" s="18">
        <f>1311.94+1080.29+1240.64+1438.88</f>
        <v>5071.75</v>
      </c>
      <c r="J202" s="18"/>
      <c r="K202" s="18"/>
      <c r="L202" s="19">
        <f t="shared" ref="L202:L208" si="0">SUM(F202:K202)</f>
        <v>1524307.94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9055+185503+26000+(175684+35100)+63287.73+27923.89+0.11</f>
        <v>522553.73</v>
      </c>
      <c r="G203" s="18">
        <f>4802.85+6542.67+8892.2+220140.99</f>
        <v>240378.71</v>
      </c>
      <c r="H203" s="18">
        <f>(5463.15+3641.99+5260+2562.34+297.5+5260+2853.32+258)+(248.18+64.36)+(2100.45+2700+5232.09+61945.47)+(34056.75+419.97)</f>
        <v>132363.57</v>
      </c>
      <c r="I203" s="18">
        <f>(1696.52+5319+5845.85)+(198.42+535.94+5879.92+599.37+966.74+5881.83+576.23+1006.25+4718.17)+15177+(12898.96+8100.27+43649.15+19886.86)</f>
        <v>132936.48000000001</v>
      </c>
      <c r="J203" s="18">
        <f>(13213.62+146082.58)</f>
        <v>159296.19999999998</v>
      </c>
      <c r="K203" s="18">
        <v>1085</v>
      </c>
      <c r="L203" s="19">
        <f t="shared" si="0"/>
        <v>1188613.69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23583.44+(322496.36-0.11)</f>
        <v>346079.69</v>
      </c>
      <c r="G204" s="18">
        <v>145796.16</v>
      </c>
      <c r="H204" s="18">
        <f>(2125.5+8039+20344+3973.41+4727.79)+(6869.81+99.5+13039-8039+1758.2+1050+3258.18+6354.06+1274.43)</f>
        <v>64873.880000000005</v>
      </c>
      <c r="I204" s="18">
        <f>2962.13+(4968.62+804.14+183.94+2964.64+9242.06+2526.3+17095.02)</f>
        <v>40746.85</v>
      </c>
      <c r="J204" s="18"/>
      <c r="K204" s="18">
        <f>(6881.91+85.5)+(3277+2441.18)</f>
        <v>12685.59</v>
      </c>
      <c r="L204" s="19">
        <f t="shared" si="0"/>
        <v>610182.16999999993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434092+207671</f>
        <v>641763</v>
      </c>
      <c r="G205" s="18">
        <f>5333.33+270361.37</f>
        <v>275694.7</v>
      </c>
      <c r="H205" s="18">
        <f>(452.75+3540.52+1152.09)+(190.26+4517.41+1450.5)+(225.38+5135.01+1159.61)</f>
        <v>17823.53</v>
      </c>
      <c r="I205" s="18">
        <f>3692.07+4889.97+5896.42</f>
        <v>14478.460000000001</v>
      </c>
      <c r="J205" s="18"/>
      <c r="K205" s="18">
        <f>765+1779+1274.99</f>
        <v>3818.99</v>
      </c>
      <c r="L205" s="19">
        <f t="shared" si="0"/>
        <v>953578.67999999993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166319.05+204040.8+196666.63</f>
        <v>567026.48</v>
      </c>
      <c r="G207" s="18">
        <v>238876.43</v>
      </c>
      <c r="H207" s="18">
        <f>70195+276666.18+45629+82394.74+1435.08</f>
        <v>476320</v>
      </c>
      <c r="I207" s="18">
        <f>322339.87+24157.08</f>
        <v>346496.95</v>
      </c>
      <c r="J207" s="18">
        <v>13542.5</v>
      </c>
      <c r="K207" s="18"/>
      <c r="L207" s="19">
        <f t="shared" si="0"/>
        <v>1642262.3599999999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731935.18</v>
      </c>
      <c r="I208" s="18"/>
      <c r="J208" s="18"/>
      <c r="K208" s="18"/>
      <c r="L208" s="19">
        <f t="shared" si="0"/>
        <v>731935.18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10814552.550000003</v>
      </c>
      <c r="G211" s="41">
        <f t="shared" si="1"/>
        <v>4562544.13</v>
      </c>
      <c r="H211" s="41">
        <f t="shared" si="1"/>
        <v>1790976.46</v>
      </c>
      <c r="I211" s="41">
        <f t="shared" si="1"/>
        <v>699819.47</v>
      </c>
      <c r="J211" s="41">
        <f t="shared" si="1"/>
        <v>176331.13999999998</v>
      </c>
      <c r="K211" s="41">
        <f t="shared" si="1"/>
        <v>18654.580000000002</v>
      </c>
      <c r="L211" s="41">
        <f t="shared" si="1"/>
        <v>18062878.329999998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12900</v>
      </c>
      <c r="G250" s="18">
        <v>987</v>
      </c>
      <c r="H250" s="18">
        <v>2903.9</v>
      </c>
      <c r="I250" s="18">
        <f>5293.12+4458.49+20205.18</f>
        <v>29956.79</v>
      </c>
      <c r="J250" s="18"/>
      <c r="K250" s="18"/>
      <c r="L250" s="19">
        <f t="shared" ref="L250:L255" si="6">SUM(F250:K250)</f>
        <v>46747.69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86250+(377013.73-200032.87)</f>
        <v>263230.86</v>
      </c>
      <c r="I255" s="18"/>
      <c r="J255" s="18"/>
      <c r="K255" s="18"/>
      <c r="L255" s="19">
        <f t="shared" si="6"/>
        <v>263230.86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12900</v>
      </c>
      <c r="G256" s="41">
        <f t="shared" si="7"/>
        <v>987</v>
      </c>
      <c r="H256" s="41">
        <f t="shared" si="7"/>
        <v>266134.76</v>
      </c>
      <c r="I256" s="41">
        <f t="shared" si="7"/>
        <v>29956.79</v>
      </c>
      <c r="J256" s="41">
        <f t="shared" si="7"/>
        <v>0</v>
      </c>
      <c r="K256" s="41">
        <f t="shared" si="7"/>
        <v>0</v>
      </c>
      <c r="L256" s="41">
        <f>SUM(F256:K256)</f>
        <v>309978.55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10827452.550000003</v>
      </c>
      <c r="G257" s="41">
        <f t="shared" si="8"/>
        <v>4563531.13</v>
      </c>
      <c r="H257" s="41">
        <f t="shared" si="8"/>
        <v>2057111.22</v>
      </c>
      <c r="I257" s="41">
        <f t="shared" si="8"/>
        <v>729776.26</v>
      </c>
      <c r="J257" s="41">
        <f t="shared" si="8"/>
        <v>176331.13999999998</v>
      </c>
      <c r="K257" s="41">
        <f t="shared" si="8"/>
        <v>18654.580000000002</v>
      </c>
      <c r="L257" s="41">
        <f t="shared" si="8"/>
        <v>18372856.879999999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420000</v>
      </c>
      <c r="L260" s="19">
        <f>SUM(F260:K260)</f>
        <v>420000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49831.25</v>
      </c>
      <c r="L261" s="19">
        <f>SUM(F261:K261)</f>
        <v>49831.25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469831.25</v>
      </c>
      <c r="L270" s="41">
        <f t="shared" si="9"/>
        <v>469831.25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10827452.550000003</v>
      </c>
      <c r="G271" s="42">
        <f t="shared" si="11"/>
        <v>4563531.13</v>
      </c>
      <c r="H271" s="42">
        <f t="shared" si="11"/>
        <v>2057111.22</v>
      </c>
      <c r="I271" s="42">
        <f t="shared" si="11"/>
        <v>729776.26</v>
      </c>
      <c r="J271" s="42">
        <f t="shared" si="11"/>
        <v>176331.13999999998</v>
      </c>
      <c r="K271" s="42">
        <f t="shared" si="11"/>
        <v>488485.83</v>
      </c>
      <c r="L271" s="42">
        <f t="shared" si="11"/>
        <v>18842688.129999999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(68646.56+11330.94+44064.48+5531.8+1000)</f>
        <v>130573.78000000001</v>
      </c>
      <c r="G276" s="18">
        <f>(3947.95+3509.15+423.18+5263.6)</f>
        <v>13143.880000000001</v>
      </c>
      <c r="H276" s="18">
        <f>(3550+300+100)</f>
        <v>3950</v>
      </c>
      <c r="I276" s="18">
        <f>78.36+(9+13.27)+(754.17+637.63+498.96+124.45)+(508+49.8)</f>
        <v>2673.6400000000003</v>
      </c>
      <c r="J276" s="18">
        <f>1197+239.98</f>
        <v>1436.98</v>
      </c>
      <c r="K276" s="18"/>
      <c r="L276" s="19">
        <f>SUM(F276:K276)</f>
        <v>151778.28000000003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(124906+1996+500)+(7414+50)</f>
        <v>134866</v>
      </c>
      <c r="G277" s="18">
        <f>9587.65+567.03</f>
        <v>10154.68</v>
      </c>
      <c r="H277" s="18">
        <f>(35922+4500+53100+2165)</f>
        <v>95687</v>
      </c>
      <c r="I277" s="18">
        <f>(37.83+276.64+139+73.39)+(13363.63+318.97+418.98+139.35+500+2070)+696.09</f>
        <v>18033.88</v>
      </c>
      <c r="J277" s="18">
        <f>(384.63+44.37)+(3466.4+274.93)</f>
        <v>4170.33</v>
      </c>
      <c r="K277" s="18"/>
      <c r="L277" s="19">
        <f>SUM(F277:K277)</f>
        <v>262911.89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f>495</f>
        <v>495</v>
      </c>
      <c r="I281" s="18"/>
      <c r="J281" s="18"/>
      <c r="K281" s="18"/>
      <c r="L281" s="19">
        <f t="shared" ref="L281:L287" si="12">SUM(F281:K281)</f>
        <v>495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825+(200+2035+437.5+2117.5+3258.75+3575+2076.25+2750)+5250+437.5</f>
        <v>22962.5</v>
      </c>
      <c r="G282" s="18">
        <f>(383.13+1460)+995</f>
        <v>2838.13</v>
      </c>
      <c r="H282" s="18">
        <f>1000+2200+(1200+798+125+3200+2500+4330+8332.16+3860.29+9600+1350+497.58)+(4165+5950)+479.36+(35451.06)+(684.27+720+575)</f>
        <v>87017.72</v>
      </c>
      <c r="I282" s="18">
        <f>(34.14+127.2+86.91)+(249.32+430.12+843.15)+(435+700+100)</f>
        <v>3005.84</v>
      </c>
      <c r="J282" s="18"/>
      <c r="K282" s="18">
        <f>758+(3304+750)</f>
        <v>4812</v>
      </c>
      <c r="L282" s="19">
        <f t="shared" si="12"/>
        <v>120636.19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f>(1000+2500)</f>
        <v>3500</v>
      </c>
      <c r="G284" s="18">
        <f>191.25</f>
        <v>191.25</v>
      </c>
      <c r="H284" s="18"/>
      <c r="I284" s="18"/>
      <c r="J284" s="18"/>
      <c r="K284" s="18">
        <v>50</v>
      </c>
      <c r="L284" s="19">
        <f t="shared" si="12"/>
        <v>3741.25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291902.28000000003</v>
      </c>
      <c r="G290" s="42">
        <f t="shared" si="13"/>
        <v>26327.940000000002</v>
      </c>
      <c r="H290" s="42">
        <f t="shared" si="13"/>
        <v>187149.72</v>
      </c>
      <c r="I290" s="42">
        <f t="shared" si="13"/>
        <v>23713.360000000001</v>
      </c>
      <c r="J290" s="42">
        <f t="shared" si="13"/>
        <v>5607.3099999999995</v>
      </c>
      <c r="K290" s="42">
        <f t="shared" si="13"/>
        <v>4862</v>
      </c>
      <c r="L290" s="41">
        <f t="shared" si="13"/>
        <v>539562.6100000001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291902.28000000003</v>
      </c>
      <c r="G338" s="41">
        <f t="shared" si="20"/>
        <v>26327.940000000002</v>
      </c>
      <c r="H338" s="41">
        <f t="shared" si="20"/>
        <v>187149.72</v>
      </c>
      <c r="I338" s="41">
        <f t="shared" si="20"/>
        <v>23713.360000000001</v>
      </c>
      <c r="J338" s="41">
        <f t="shared" si="20"/>
        <v>5607.3099999999995</v>
      </c>
      <c r="K338" s="41">
        <f t="shared" si="20"/>
        <v>4862</v>
      </c>
      <c r="L338" s="41">
        <f t="shared" si="20"/>
        <v>539562.6100000001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291902.28000000003</v>
      </c>
      <c r="G352" s="41">
        <f>G338</f>
        <v>26327.940000000002</v>
      </c>
      <c r="H352" s="41">
        <f>H338</f>
        <v>187149.72</v>
      </c>
      <c r="I352" s="41">
        <f>I338</f>
        <v>23713.360000000001</v>
      </c>
      <c r="J352" s="41">
        <f>J338</f>
        <v>5607.3099999999995</v>
      </c>
      <c r="K352" s="47">
        <f>K338+K351</f>
        <v>4862</v>
      </c>
      <c r="L352" s="41">
        <f>L338+L351</f>
        <v>539562.6100000001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57775+138625.97+3588.04</f>
        <v>199989.01</v>
      </c>
      <c r="G358" s="18"/>
      <c r="H358" s="18">
        <v>3154.64</v>
      </c>
      <c r="I358" s="18">
        <f>1000+12942.5+214856.68</f>
        <v>228799.18</v>
      </c>
      <c r="J358" s="18"/>
      <c r="K358" s="18">
        <v>2377.5100000000002</v>
      </c>
      <c r="L358" s="13">
        <f>SUM(F358:K358)</f>
        <v>434320.34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199989.01</v>
      </c>
      <c r="G362" s="47">
        <f t="shared" si="22"/>
        <v>0</v>
      </c>
      <c r="H362" s="47">
        <f t="shared" si="22"/>
        <v>3154.64</v>
      </c>
      <c r="I362" s="47">
        <f t="shared" si="22"/>
        <v>228799.18</v>
      </c>
      <c r="J362" s="47">
        <f t="shared" si="22"/>
        <v>0</v>
      </c>
      <c r="K362" s="47">
        <f t="shared" si="22"/>
        <v>2377.5100000000002</v>
      </c>
      <c r="L362" s="47">
        <f t="shared" si="22"/>
        <v>434320.34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214856.68</v>
      </c>
      <c r="G367" s="18"/>
      <c r="H367" s="18"/>
      <c r="I367" s="56">
        <f>SUM(F367:H367)</f>
        <v>214856.68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13942.5</v>
      </c>
      <c r="G368" s="63"/>
      <c r="H368" s="63"/>
      <c r="I368" s="56">
        <f>SUM(F368:H368)</f>
        <v>13942.5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228799.18</v>
      </c>
      <c r="G369" s="47">
        <f>SUM(G367:G368)</f>
        <v>0</v>
      </c>
      <c r="H369" s="47">
        <f>SUM(H367:H368)</f>
        <v>0</v>
      </c>
      <c r="I369" s="47">
        <f>SUM(I367:I368)</f>
        <v>228799.18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f>3709.27-263.96</f>
        <v>3445.31</v>
      </c>
      <c r="I397" s="18">
        <v>313.52999999999997</v>
      </c>
      <c r="J397" s="24" t="s">
        <v>289</v>
      </c>
      <c r="K397" s="24" t="s">
        <v>289</v>
      </c>
      <c r="L397" s="56">
        <f t="shared" si="26"/>
        <v>3758.84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3445.31</v>
      </c>
      <c r="I401" s="47">
        <f>SUM(I395:I400)</f>
        <v>313.52999999999997</v>
      </c>
      <c r="J401" s="45" t="s">
        <v>289</v>
      </c>
      <c r="K401" s="45" t="s">
        <v>289</v>
      </c>
      <c r="L401" s="47">
        <f>SUM(L395:L400)</f>
        <v>3758.84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3445.31</v>
      </c>
      <c r="I408" s="47">
        <f>I393+I401+I407</f>
        <v>313.52999999999997</v>
      </c>
      <c r="J408" s="24" t="s">
        <v>289</v>
      </c>
      <c r="K408" s="24" t="s">
        <v>289</v>
      </c>
      <c r="L408" s="47">
        <f>L393+L401+L407</f>
        <v>3758.84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219114.77</v>
      </c>
      <c r="H440" s="18"/>
      <c r="I440" s="56">
        <f t="shared" si="33"/>
        <v>219114.77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219114.77</v>
      </c>
      <c r="H446" s="13">
        <f>SUM(H439:H445)</f>
        <v>0</v>
      </c>
      <c r="I446" s="13">
        <f>SUM(I439:I445)</f>
        <v>219114.77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219114.77</v>
      </c>
      <c r="H459" s="18"/>
      <c r="I459" s="56">
        <f t="shared" si="34"/>
        <v>219114.77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219114.77</v>
      </c>
      <c r="H460" s="83">
        <f>SUM(H454:H459)</f>
        <v>0</v>
      </c>
      <c r="I460" s="83">
        <f>SUM(I454:I459)</f>
        <v>219114.77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219114.77</v>
      </c>
      <c r="H461" s="42">
        <f>H452+H460</f>
        <v>0</v>
      </c>
      <c r="I461" s="42">
        <f>I452+I460</f>
        <v>219114.77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605928.56000000006</v>
      </c>
      <c r="G465" s="18">
        <v>19194.82</v>
      </c>
      <c r="H465" s="18">
        <v>0</v>
      </c>
      <c r="I465" s="18"/>
      <c r="J465" s="18">
        <v>215355.93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18944119.719999999</v>
      </c>
      <c r="G468" s="18">
        <v>435144.82</v>
      </c>
      <c r="H468" s="18">
        <v>539562.61</v>
      </c>
      <c r="I468" s="18"/>
      <c r="J468" s="18">
        <f>313.53+3709.27-263.96</f>
        <v>3758.84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18944119.719999999</v>
      </c>
      <c r="G470" s="53">
        <f>SUM(G468:G469)</f>
        <v>435144.82</v>
      </c>
      <c r="H470" s="53">
        <f>SUM(H468:H469)</f>
        <v>539562.61</v>
      </c>
      <c r="I470" s="53">
        <f>SUM(I468:I469)</f>
        <v>0</v>
      </c>
      <c r="J470" s="53">
        <f>SUM(J468:J469)</f>
        <v>3758.84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18842688.129999999</v>
      </c>
      <c r="G472" s="18">
        <v>434320.34</v>
      </c>
      <c r="H472" s="18">
        <v>539562.61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18842688.129999999</v>
      </c>
      <c r="G474" s="53">
        <f>SUM(G472:G473)</f>
        <v>434320.34</v>
      </c>
      <c r="H474" s="53">
        <f>SUM(H472:H473)</f>
        <v>539562.61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707360.14999999851</v>
      </c>
      <c r="G476" s="53">
        <f>(G465+G470)- G474</f>
        <v>20019.299999999988</v>
      </c>
      <c r="H476" s="53">
        <f>(H465+H470)- H474</f>
        <v>0</v>
      </c>
      <c r="I476" s="53">
        <f>(I465+I470)- I474</f>
        <v>0</v>
      </c>
      <c r="J476" s="53">
        <f>(J465+J470)- J474</f>
        <v>219114.77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 t="s">
        <v>916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3970000</v>
      </c>
      <c r="G493" s="18">
        <v>1770000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5.71</v>
      </c>
      <c r="G494" s="18">
        <v>4.91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630000</v>
      </c>
      <c r="G495" s="18">
        <v>505000</v>
      </c>
      <c r="H495" s="18"/>
      <c r="I495" s="18"/>
      <c r="J495" s="18"/>
      <c r="K495" s="53">
        <f>SUM(F495:J495)</f>
        <v>1135000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305000</v>
      </c>
      <c r="G497" s="18">
        <v>115000</v>
      </c>
      <c r="H497" s="18"/>
      <c r="I497" s="18"/>
      <c r="J497" s="18"/>
      <c r="K497" s="53">
        <f t="shared" si="35"/>
        <v>420000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325000</v>
      </c>
      <c r="G498" s="204">
        <v>390000</v>
      </c>
      <c r="H498" s="204"/>
      <c r="I498" s="204"/>
      <c r="J498" s="204"/>
      <c r="K498" s="205">
        <f t="shared" si="35"/>
        <v>715000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9343.75</v>
      </c>
      <c r="G499" s="18">
        <f>9750+(6625*2)+(3375*2)</f>
        <v>29750</v>
      </c>
      <c r="H499" s="18"/>
      <c r="I499" s="18"/>
      <c r="J499" s="18"/>
      <c r="K499" s="53">
        <f t="shared" si="35"/>
        <v>39093.75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334343.75</v>
      </c>
      <c r="G500" s="42">
        <f>SUM(G498:G499)</f>
        <v>419750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754093.75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325000</v>
      </c>
      <c r="G501" s="204">
        <v>125000</v>
      </c>
      <c r="H501" s="204"/>
      <c r="I501" s="204"/>
      <c r="J501" s="204"/>
      <c r="K501" s="205">
        <f t="shared" si="35"/>
        <v>450000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9343.75</v>
      </c>
      <c r="G502" s="18">
        <f>9750+6625</f>
        <v>16375</v>
      </c>
      <c r="H502" s="18"/>
      <c r="I502" s="18"/>
      <c r="J502" s="18"/>
      <c r="K502" s="53">
        <f t="shared" si="35"/>
        <v>25718.75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334343.75</v>
      </c>
      <c r="G503" s="42">
        <f>SUM(G501:G502)</f>
        <v>141375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475718.75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1369178.19+134866</f>
        <v>1504044.19</v>
      </c>
      <c r="G521" s="18">
        <f>576806.22+10154.68</f>
        <v>586960.9</v>
      </c>
      <c r="H521" s="18">
        <f>262414.78+95687-3958.42</f>
        <v>354143.36000000004</v>
      </c>
      <c r="I521" s="18">
        <f>5098.16+18033.88</f>
        <v>23132.04</v>
      </c>
      <c r="J521" s="18">
        <f>585.39+4170.33</f>
        <v>4755.72</v>
      </c>
      <c r="K521" s="18"/>
      <c r="L521" s="88">
        <f>SUM(F521:K521)</f>
        <v>2473036.21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1504044.19</v>
      </c>
      <c r="G524" s="108">
        <f t="shared" ref="G524:L524" si="36">SUM(G521:G523)</f>
        <v>586960.9</v>
      </c>
      <c r="H524" s="108">
        <f t="shared" si="36"/>
        <v>354143.36000000004</v>
      </c>
      <c r="I524" s="108">
        <f t="shared" si="36"/>
        <v>23132.04</v>
      </c>
      <c r="J524" s="108">
        <f t="shared" si="36"/>
        <v>4755.72</v>
      </c>
      <c r="K524" s="108">
        <f t="shared" si="36"/>
        <v>0</v>
      </c>
      <c r="L524" s="89">
        <f t="shared" si="36"/>
        <v>2473036.21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152720+201248.5+21215+136814</f>
        <v>511997.5</v>
      </c>
      <c r="G526" s="18">
        <v>215694.15</v>
      </c>
      <c r="H526" s="18">
        <f>24121.35+495</f>
        <v>24616.35</v>
      </c>
      <c r="I526" s="18"/>
      <c r="J526" s="18"/>
      <c r="K526" s="18"/>
      <c r="L526" s="88">
        <f>SUM(F526:K526)</f>
        <v>752308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511997.5</v>
      </c>
      <c r="G529" s="89">
        <f t="shared" ref="G529:L529" si="37">SUM(G526:G528)</f>
        <v>215694.15</v>
      </c>
      <c r="H529" s="89">
        <f t="shared" si="37"/>
        <v>24616.35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752308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91115.8+71708</f>
        <v>162823.79999999999</v>
      </c>
      <c r="G531" s="18"/>
      <c r="H531" s="18">
        <f>2018.82+900+1039.6</f>
        <v>3958.4199999999996</v>
      </c>
      <c r="I531" s="18"/>
      <c r="J531" s="18"/>
      <c r="K531" s="18">
        <v>1065</v>
      </c>
      <c r="L531" s="88">
        <f>SUM(F531:K531)</f>
        <v>167847.22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162823.79999999999</v>
      </c>
      <c r="G534" s="89">
        <f t="shared" ref="G534:L534" si="38">SUM(G531:G533)</f>
        <v>0</v>
      </c>
      <c r="H534" s="89">
        <f t="shared" si="38"/>
        <v>3958.4199999999996</v>
      </c>
      <c r="I534" s="89">
        <f t="shared" si="38"/>
        <v>0</v>
      </c>
      <c r="J534" s="89">
        <f t="shared" si="38"/>
        <v>0</v>
      </c>
      <c r="K534" s="89">
        <f t="shared" si="38"/>
        <v>1065</v>
      </c>
      <c r="L534" s="89">
        <f t="shared" si="38"/>
        <v>167847.22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692.34</v>
      </c>
      <c r="I536" s="18"/>
      <c r="J536" s="18"/>
      <c r="K536" s="18"/>
      <c r="L536" s="88">
        <f>SUM(F536:K536)</f>
        <v>692.34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692.34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692.34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115846.08</v>
      </c>
      <c r="I541" s="18"/>
      <c r="J541" s="18"/>
      <c r="K541" s="18"/>
      <c r="L541" s="88">
        <f>SUM(F541:K541)</f>
        <v>115846.08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115846.08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115846.08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2178865.4899999998</v>
      </c>
      <c r="G545" s="89">
        <f t="shared" ref="G545:L545" si="41">G524+G529+G534+G539+G544</f>
        <v>802655.05</v>
      </c>
      <c r="H545" s="89">
        <f t="shared" si="41"/>
        <v>499256.55000000005</v>
      </c>
      <c r="I545" s="89">
        <f t="shared" si="41"/>
        <v>23132.04</v>
      </c>
      <c r="J545" s="89">
        <f t="shared" si="41"/>
        <v>4755.72</v>
      </c>
      <c r="K545" s="89">
        <f t="shared" si="41"/>
        <v>1065</v>
      </c>
      <c r="L545" s="89">
        <f t="shared" si="41"/>
        <v>3509729.85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2473036.21</v>
      </c>
      <c r="G549" s="87">
        <f>L526</f>
        <v>752308</v>
      </c>
      <c r="H549" s="87">
        <f>L531</f>
        <v>167847.22</v>
      </c>
      <c r="I549" s="87">
        <f>L536</f>
        <v>692.34</v>
      </c>
      <c r="J549" s="87">
        <f>L541</f>
        <v>115846.08</v>
      </c>
      <c r="K549" s="87">
        <f>SUM(F549:J549)</f>
        <v>3509729.85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2473036.21</v>
      </c>
      <c r="G552" s="89">
        <f t="shared" si="42"/>
        <v>752308</v>
      </c>
      <c r="H552" s="89">
        <f t="shared" si="42"/>
        <v>167847.22</v>
      </c>
      <c r="I552" s="89">
        <f t="shared" si="42"/>
        <v>692.34</v>
      </c>
      <c r="J552" s="89">
        <f t="shared" si="42"/>
        <v>115846.08</v>
      </c>
      <c r="K552" s="89">
        <f t="shared" si="42"/>
        <v>3509729.85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19684.57+19678.61+19678.82</f>
        <v>59042</v>
      </c>
      <c r="G562" s="18">
        <f>4353.54+9251.88+18716.32+458.58</f>
        <v>32780.32</v>
      </c>
      <c r="H562" s="18"/>
      <c r="I562" s="18"/>
      <c r="J562" s="18"/>
      <c r="K562" s="18"/>
      <c r="L562" s="88">
        <f>SUM(F562:K562)</f>
        <v>91822.32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59042</v>
      </c>
      <c r="G565" s="89">
        <f t="shared" si="44"/>
        <v>32780.32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91822.32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59042</v>
      </c>
      <c r="G571" s="89">
        <f t="shared" ref="G571:L571" si="46">G560+G565+G570</f>
        <v>32780.32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91822.32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186929.75</v>
      </c>
      <c r="G582" s="18"/>
      <c r="H582" s="18"/>
      <c r="I582" s="87">
        <f t="shared" si="47"/>
        <v>186929.75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584209</v>
      </c>
      <c r="I591" s="18"/>
      <c r="J591" s="18"/>
      <c r="K591" s="104">
        <f t="shared" ref="K591:K597" si="48">SUM(H591:J591)</f>
        <v>584209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115846.08</v>
      </c>
      <c r="I592" s="18"/>
      <c r="J592" s="18"/>
      <c r="K592" s="104">
        <f t="shared" si="48"/>
        <v>115846.08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9066.06</v>
      </c>
      <c r="I594" s="18"/>
      <c r="J594" s="18"/>
      <c r="K594" s="104">
        <f t="shared" si="48"/>
        <v>9066.06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5945.28</v>
      </c>
      <c r="I595" s="18"/>
      <c r="J595" s="18"/>
      <c r="K595" s="104">
        <f t="shared" si="48"/>
        <v>5945.28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16868.759999999998</v>
      </c>
      <c r="I597" s="18"/>
      <c r="J597" s="18"/>
      <c r="K597" s="104">
        <f t="shared" si="48"/>
        <v>16868.759999999998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731935.18</v>
      </c>
      <c r="I598" s="108">
        <f>SUM(I591:I597)</f>
        <v>0</v>
      </c>
      <c r="J598" s="108">
        <f>SUM(J591:J597)</f>
        <v>0</v>
      </c>
      <c r="K598" s="108">
        <f>SUM(K591:K597)</f>
        <v>731935.18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181938.45</v>
      </c>
      <c r="I604" s="18"/>
      <c r="J604" s="18"/>
      <c r="K604" s="104">
        <f>SUM(H604:J604)</f>
        <v>181938.45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181938.45</v>
      </c>
      <c r="I605" s="108">
        <f>SUM(I602:I604)</f>
        <v>0</v>
      </c>
      <c r="J605" s="108">
        <f>SUM(J602:J604)</f>
        <v>0</v>
      </c>
      <c r="K605" s="108">
        <f>SUM(K602:K604)</f>
        <v>181938.45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1750.1</v>
      </c>
      <c r="G611" s="18"/>
      <c r="H611" s="18"/>
      <c r="I611" s="18"/>
      <c r="J611" s="18"/>
      <c r="K611" s="18"/>
      <c r="L611" s="88">
        <f>SUM(F611:K611)</f>
        <v>1750.1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1750.1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1750.1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989690.98</v>
      </c>
      <c r="H617" s="109">
        <f>SUM(F52)</f>
        <v>989690.98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20419.3</v>
      </c>
      <c r="H618" s="109">
        <f>SUM(G52)</f>
        <v>20419.3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129872</v>
      </c>
      <c r="H619" s="109">
        <f>SUM(H52)</f>
        <v>129872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219114.77</v>
      </c>
      <c r="H621" s="109">
        <f>SUM(J52)</f>
        <v>219114.77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707360.15</v>
      </c>
      <c r="H622" s="109">
        <f>F476</f>
        <v>707360.14999999851</v>
      </c>
      <c r="I622" s="121" t="s">
        <v>101</v>
      </c>
      <c r="J622" s="109">
        <f t="shared" ref="J622:J655" si="50">G622-H622</f>
        <v>1.5133991837501526E-9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20019.3</v>
      </c>
      <c r="H623" s="109">
        <f>G476</f>
        <v>20019.299999999988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219114.77</v>
      </c>
      <c r="H626" s="109">
        <f>J476</f>
        <v>219114.77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18944119.720000003</v>
      </c>
      <c r="H627" s="104">
        <f>SUM(F468)</f>
        <v>18944119.719999999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435144.82</v>
      </c>
      <c r="H628" s="104">
        <f>SUM(G468)</f>
        <v>435144.82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539562.61300000013</v>
      </c>
      <c r="H629" s="104">
        <f>SUM(H468)</f>
        <v>539562.61</v>
      </c>
      <c r="I629" s="140" t="s">
        <v>108</v>
      </c>
      <c r="J629" s="109">
        <f>G629-H629</f>
        <v>3.0000001424923539E-3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3758.84</v>
      </c>
      <c r="H631" s="104">
        <f>SUM(J468)</f>
        <v>3758.84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18842688.129999999</v>
      </c>
      <c r="H632" s="104">
        <f>SUM(F472)</f>
        <v>18842688.129999999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539562.6100000001</v>
      </c>
      <c r="H633" s="104">
        <f>SUM(H472)</f>
        <v>539562.61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228799.18</v>
      </c>
      <c r="H634" s="104">
        <f>I369</f>
        <v>228799.18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434320.34</v>
      </c>
      <c r="H635" s="104">
        <f>SUM(G472)</f>
        <v>434320.34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3758.84</v>
      </c>
      <c r="H637" s="164">
        <f>SUM(J468)</f>
        <v>3758.84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219114.77</v>
      </c>
      <c r="H640" s="104">
        <f>SUM(G461)</f>
        <v>219114.77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219114.77</v>
      </c>
      <c r="H642" s="104">
        <f>SUM(I461)</f>
        <v>219114.77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3445.31</v>
      </c>
      <c r="H644" s="104">
        <f>H408</f>
        <v>3445.31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3758.84</v>
      </c>
      <c r="H646" s="104">
        <f>L408</f>
        <v>3758.84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731935.18</v>
      </c>
      <c r="H647" s="104">
        <f>L208+L226+L244</f>
        <v>731935.18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181938.45</v>
      </c>
      <c r="H648" s="104">
        <f>(J257+J338)-(J255+J336)</f>
        <v>181938.44999999998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731935.18</v>
      </c>
      <c r="H649" s="104">
        <f>H598</f>
        <v>731935.18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3.0000060796737671E-3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19036761.279999997</v>
      </c>
      <c r="G660" s="19">
        <f>(L229+L309+L359)</f>
        <v>0</v>
      </c>
      <c r="H660" s="19">
        <f>(L247+L328+L360)</f>
        <v>0</v>
      </c>
      <c r="I660" s="19">
        <f>SUM(F660:H660)</f>
        <v>19036761.279999997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289201.69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289201.69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731935.18</v>
      </c>
      <c r="G662" s="19">
        <f>(L226+L306)-(J226+J306)</f>
        <v>0</v>
      </c>
      <c r="H662" s="19">
        <f>(L244+L325)-(J244+J325)</f>
        <v>0</v>
      </c>
      <c r="I662" s="19">
        <f>SUM(F662:H662)</f>
        <v>731935.18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370618.3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370618.3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17645006.109999996</v>
      </c>
      <c r="G664" s="19">
        <f>G660-SUM(G661:G663)</f>
        <v>0</v>
      </c>
      <c r="H664" s="19">
        <f>H660-SUM(H661:H663)</f>
        <v>0</v>
      </c>
      <c r="I664" s="19">
        <f>I660-SUM(I661:I663)</f>
        <v>17645006.109999996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1118.9100000000001</v>
      </c>
      <c r="G665" s="248"/>
      <c r="H665" s="248"/>
      <c r="I665" s="19">
        <f>SUM(F665:H665)</f>
        <v>1118.9100000000001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15769.82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15769.82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15769.82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15769.82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Hampton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6360328.2000000011</v>
      </c>
      <c r="C9" s="229">
        <f>'DOE25'!G197+'DOE25'!G215+'DOE25'!G233+'DOE25'!G276+'DOE25'!G295+'DOE25'!G314</f>
        <v>2637609.52</v>
      </c>
    </row>
    <row r="10" spans="1:3" x14ac:dyDescent="0.2">
      <c r="A10" t="s">
        <v>779</v>
      </c>
      <c r="B10" s="240">
        <f>1784672.88+1858436.61+2318328.22+142977.82+68646.56</f>
        <v>6173062.0900000008</v>
      </c>
      <c r="C10" s="240">
        <v>2623283.66</v>
      </c>
    </row>
    <row r="11" spans="1:3" x14ac:dyDescent="0.2">
      <c r="A11" t="s">
        <v>780</v>
      </c>
      <c r="B11" s="240">
        <f>123111.01+11330.94+44064.48+5531.8+1000+2227.88</f>
        <v>187266.11</v>
      </c>
      <c r="C11" s="240">
        <v>14325.86</v>
      </c>
    </row>
    <row r="12" spans="1:3" x14ac:dyDescent="0.2">
      <c r="A12" t="s">
        <v>781</v>
      </c>
      <c r="B12" s="240">
        <v>0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6360328.2000000011</v>
      </c>
      <c r="C13" s="231">
        <f>SUM(C10:C12)</f>
        <v>2637609.52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1504044.19</v>
      </c>
      <c r="C18" s="229">
        <f>'DOE25'!G198+'DOE25'!G216+'DOE25'!G234+'DOE25'!G277+'DOE25'!G296+'DOE25'!G315</f>
        <v>586960.9</v>
      </c>
    </row>
    <row r="19" spans="1:3" x14ac:dyDescent="0.2">
      <c r="A19" t="s">
        <v>779</v>
      </c>
      <c r="B19" s="240">
        <f>856524+14170.91+10808.7</f>
        <v>881503.61</v>
      </c>
      <c r="C19" s="240">
        <v>445474.85</v>
      </c>
    </row>
    <row r="20" spans="1:3" x14ac:dyDescent="0.2">
      <c r="A20" t="s">
        <v>780</v>
      </c>
      <c r="B20" s="240">
        <f>314043.16+1189.38+9618.24+134866</f>
        <v>459716.77999999997</v>
      </c>
      <c r="C20" s="240">
        <f>35752.5+35168.33</f>
        <v>70920.83</v>
      </c>
    </row>
    <row r="21" spans="1:3" x14ac:dyDescent="0.2">
      <c r="A21" t="s">
        <v>781</v>
      </c>
      <c r="B21" s="240">
        <f>91115.8+71708</f>
        <v>162823.79999999999</v>
      </c>
      <c r="C21" s="240">
        <f>12456.02+18187.42+15242.33+16439.14+6965.58+357.57+458.58+458.58</f>
        <v>70565.22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1504044.19</v>
      </c>
      <c r="C22" s="231">
        <f>SUM(C19:C21)</f>
        <v>586960.9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86466.540000000008</v>
      </c>
      <c r="C36" s="235">
        <f>'DOE25'!G200+'DOE25'!G218+'DOE25'!G236+'DOE25'!G279+'DOE25'!G298+'DOE25'!G317</f>
        <v>17454.14</v>
      </c>
    </row>
    <row r="37" spans="1:3" x14ac:dyDescent="0.2">
      <c r="A37" t="s">
        <v>779</v>
      </c>
      <c r="B37" s="240">
        <v>86466.54</v>
      </c>
      <c r="C37" s="240">
        <v>17454.14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86466.54</v>
      </c>
      <c r="C40" s="231">
        <f>SUM(C37:C39)</f>
        <v>17454.14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Hampton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11411998.310000001</v>
      </c>
      <c r="D5" s="20">
        <f>SUM('DOE25'!L197:L200)+SUM('DOE25'!L215:L218)+SUM('DOE25'!L233:L236)-F5-G5</f>
        <v>11407440.870000001</v>
      </c>
      <c r="E5" s="243"/>
      <c r="F5" s="255">
        <f>SUM('DOE25'!J197:J200)+SUM('DOE25'!J215:J218)+SUM('DOE25'!J233:J236)</f>
        <v>3492.44</v>
      </c>
      <c r="G5" s="53">
        <f>SUM('DOE25'!K197:K200)+SUM('DOE25'!K215:K218)+SUM('DOE25'!K233:K236)</f>
        <v>1065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1524307.94</v>
      </c>
      <c r="D6" s="20">
        <f>'DOE25'!L202+'DOE25'!L220+'DOE25'!L238-F6-G6</f>
        <v>1524307.94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1188613.69</v>
      </c>
      <c r="D7" s="20">
        <f>'DOE25'!L203+'DOE25'!L221+'DOE25'!L239-F7-G7</f>
        <v>1028232.49</v>
      </c>
      <c r="E7" s="243"/>
      <c r="F7" s="255">
        <f>'DOE25'!J203+'DOE25'!J221+'DOE25'!J239</f>
        <v>159296.19999999998</v>
      </c>
      <c r="G7" s="53">
        <f>'DOE25'!K203+'DOE25'!K221+'DOE25'!K239</f>
        <v>1085</v>
      </c>
      <c r="H7" s="259"/>
    </row>
    <row r="8" spans="1:9" x14ac:dyDescent="0.2">
      <c r="A8" s="32">
        <v>2300</v>
      </c>
      <c r="B8" t="s">
        <v>802</v>
      </c>
      <c r="C8" s="245">
        <f t="shared" si="0"/>
        <v>300685.33999999991</v>
      </c>
      <c r="D8" s="243"/>
      <c r="E8" s="20">
        <f>'DOE25'!L204+'DOE25'!L222+'DOE25'!L240-F8-G8-D9-D11</f>
        <v>287999.74999999988</v>
      </c>
      <c r="F8" s="255">
        <f>'DOE25'!J204+'DOE25'!J222+'DOE25'!J240</f>
        <v>0</v>
      </c>
      <c r="G8" s="53">
        <f>'DOE25'!K204+'DOE25'!K222+'DOE25'!K240</f>
        <v>12685.59</v>
      </c>
      <c r="H8" s="259"/>
    </row>
    <row r="9" spans="1:9" x14ac:dyDescent="0.2">
      <c r="A9" s="32">
        <v>2310</v>
      </c>
      <c r="B9" t="s">
        <v>818</v>
      </c>
      <c r="C9" s="245">
        <f t="shared" si="0"/>
        <v>72722.679999999993</v>
      </c>
      <c r="D9" s="244">
        <v>72722.679999999993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20344</v>
      </c>
      <c r="D10" s="243"/>
      <c r="E10" s="244">
        <v>20344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236774.15000000005</v>
      </c>
      <c r="D11" s="244">
        <f>124400+9516.6+13895.48+55563+4250.57+6206.39+14750.64+7375.32+357.57+458.58</f>
        <v>236774.15000000005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953578.67999999993</v>
      </c>
      <c r="D12" s="20">
        <f>'DOE25'!L205+'DOE25'!L223+'DOE25'!L241-F12-G12</f>
        <v>949759.69</v>
      </c>
      <c r="E12" s="243"/>
      <c r="F12" s="255">
        <f>'DOE25'!J205+'DOE25'!J223+'DOE25'!J241</f>
        <v>0</v>
      </c>
      <c r="G12" s="53">
        <f>'DOE25'!K205+'DOE25'!K223+'DOE25'!K241</f>
        <v>3818.99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1642262.3599999999</v>
      </c>
      <c r="D14" s="20">
        <f>'DOE25'!L207+'DOE25'!L225+'DOE25'!L243-F14-G14</f>
        <v>1628719.8599999999</v>
      </c>
      <c r="E14" s="243"/>
      <c r="F14" s="255">
        <f>'DOE25'!J207+'DOE25'!J225+'DOE25'!J243</f>
        <v>13542.5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731935.18</v>
      </c>
      <c r="D15" s="20">
        <f>'DOE25'!L208+'DOE25'!L226+'DOE25'!L244-F15-G15</f>
        <v>731935.18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263230.86</v>
      </c>
      <c r="D22" s="243"/>
      <c r="E22" s="243"/>
      <c r="F22" s="255">
        <f>'DOE25'!L255+'DOE25'!L336</f>
        <v>263230.86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469831.25</v>
      </c>
      <c r="D25" s="243"/>
      <c r="E25" s="243"/>
      <c r="F25" s="258"/>
      <c r="G25" s="256"/>
      <c r="H25" s="257">
        <f>'DOE25'!L260+'DOE25'!L261+'DOE25'!L341+'DOE25'!L342</f>
        <v>469831.25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219463.66000000003</v>
      </c>
      <c r="D29" s="20">
        <f>'DOE25'!L358+'DOE25'!L359+'DOE25'!L360-'DOE25'!I367-F29-G29</f>
        <v>217086.15000000002</v>
      </c>
      <c r="E29" s="243"/>
      <c r="F29" s="255">
        <f>'DOE25'!J358+'DOE25'!J359+'DOE25'!J360</f>
        <v>0</v>
      </c>
      <c r="G29" s="53">
        <f>'DOE25'!K358+'DOE25'!K359+'DOE25'!K360</f>
        <v>2377.5100000000002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539562.6100000001</v>
      </c>
      <c r="D31" s="20">
        <f>'DOE25'!L290+'DOE25'!L309+'DOE25'!L328+'DOE25'!L333+'DOE25'!L334+'DOE25'!L335-F31-G31</f>
        <v>529093.30000000005</v>
      </c>
      <c r="E31" s="243"/>
      <c r="F31" s="255">
        <f>'DOE25'!J290+'DOE25'!J309+'DOE25'!J328+'DOE25'!J333+'DOE25'!J334+'DOE25'!J335</f>
        <v>5607.3099999999995</v>
      </c>
      <c r="G31" s="53">
        <f>'DOE25'!K290+'DOE25'!K309+'DOE25'!K328+'DOE25'!K333+'DOE25'!K334+'DOE25'!K335</f>
        <v>4862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18326072.309999999</v>
      </c>
      <c r="E33" s="246">
        <f>SUM(E5:E31)</f>
        <v>308343.74999999988</v>
      </c>
      <c r="F33" s="246">
        <f>SUM(F5:F31)</f>
        <v>445169.31</v>
      </c>
      <c r="G33" s="246">
        <f>SUM(G5:G31)</f>
        <v>25894.090000000004</v>
      </c>
      <c r="H33" s="246">
        <f>SUM(H5:H31)</f>
        <v>469831.25</v>
      </c>
    </row>
    <row r="35" spans="2:8" ht="12" thickBot="1" x14ac:dyDescent="0.25">
      <c r="B35" s="253" t="s">
        <v>847</v>
      </c>
      <c r="D35" s="254">
        <f>E33</f>
        <v>308343.74999999988</v>
      </c>
      <c r="E35" s="249"/>
    </row>
    <row r="36" spans="2:8" ht="12" thickTop="1" x14ac:dyDescent="0.2">
      <c r="B36" t="s">
        <v>815</v>
      </c>
      <c r="D36" s="20">
        <f>D33</f>
        <v>18326072.309999999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96" activePane="bottomLeft" state="frozen"/>
      <selection activeCell="F46" sqref="F46"/>
      <selection pane="bottomLeft" activeCell="C139" sqref="C13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850453.74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219114.77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129872</v>
      </c>
      <c r="D11" s="95">
        <f>'DOE25'!G12</f>
        <v>7657.58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9365.24</v>
      </c>
      <c r="D12" s="95">
        <f>'DOE25'!G13</f>
        <v>12761.72</v>
      </c>
      <c r="E12" s="95">
        <f>'DOE25'!H13</f>
        <v>129872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989690.98</v>
      </c>
      <c r="D18" s="41">
        <f>SUM(D8:D17)</f>
        <v>20419.3</v>
      </c>
      <c r="E18" s="41">
        <f>SUM(E8:E17)</f>
        <v>129872</v>
      </c>
      <c r="F18" s="41">
        <f>SUM(F8:F17)</f>
        <v>0</v>
      </c>
      <c r="G18" s="41">
        <f>SUM(G8:G17)</f>
        <v>219114.77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7657.58</v>
      </c>
      <c r="D21" s="95">
        <f>'DOE25'!G22</f>
        <v>0</v>
      </c>
      <c r="E21" s="95">
        <f>'DOE25'!H22</f>
        <v>129872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400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33232.46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77929.659999999989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163511.13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282330.82999999996</v>
      </c>
      <c r="D31" s="41">
        <f>SUM(D21:D30)</f>
        <v>400</v>
      </c>
      <c r="E31" s="41">
        <f>SUM(E21:E30)</f>
        <v>129872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20019.3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123019.14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219114.77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159113.56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425227.45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707360.15</v>
      </c>
      <c r="D50" s="41">
        <f>SUM(D34:D49)</f>
        <v>20019.3</v>
      </c>
      <c r="E50" s="41">
        <f>SUM(E34:E49)</f>
        <v>0</v>
      </c>
      <c r="F50" s="41">
        <f>SUM(F34:F49)</f>
        <v>0</v>
      </c>
      <c r="G50" s="41">
        <f>SUM(G34:G49)</f>
        <v>219114.77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989690.98</v>
      </c>
      <c r="D51" s="41">
        <f>D50+D31</f>
        <v>20419.3</v>
      </c>
      <c r="E51" s="41">
        <f>E50+E31</f>
        <v>129872</v>
      </c>
      <c r="F51" s="41">
        <f>F50+F31</f>
        <v>0</v>
      </c>
      <c r="G51" s="41">
        <f>G50+G31</f>
        <v>219114.77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14049081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21562.75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3445.31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289201.69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138268.22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313.52999999999997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159830.97</v>
      </c>
      <c r="D62" s="130">
        <f>SUM(D57:D61)</f>
        <v>289201.69</v>
      </c>
      <c r="E62" s="130">
        <f>SUM(E57:E61)</f>
        <v>0</v>
      </c>
      <c r="F62" s="130">
        <f>SUM(F57:F61)</f>
        <v>0</v>
      </c>
      <c r="G62" s="130">
        <f>SUM(G57:G61)</f>
        <v>3758.84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14208911.970000001</v>
      </c>
      <c r="D63" s="22">
        <f>D56+D62</f>
        <v>289201.69</v>
      </c>
      <c r="E63" s="22">
        <f>E56+E62</f>
        <v>0</v>
      </c>
      <c r="F63" s="22">
        <f>F56+F62</f>
        <v>0</v>
      </c>
      <c r="G63" s="22">
        <f>G56+G62</f>
        <v>3758.84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4484556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4484556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129237.7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6871.81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129237.7</v>
      </c>
      <c r="D78" s="130">
        <f>SUM(D72:D77)</f>
        <v>6871.81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4613793.7</v>
      </c>
      <c r="D81" s="130">
        <f>SUM(D79:D80)+D78+D70</f>
        <v>6871.81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121414.04999999999</v>
      </c>
      <c r="D88" s="95">
        <f>SUM('DOE25'!G153:G161)</f>
        <v>139071.32</v>
      </c>
      <c r="E88" s="95">
        <f>SUM('DOE25'!H153:H161)</f>
        <v>539562.61300000013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121414.04999999999</v>
      </c>
      <c r="D91" s="131">
        <f>SUM(D85:D90)</f>
        <v>139071.32</v>
      </c>
      <c r="E91" s="131">
        <f>SUM(E85:E90)</f>
        <v>539562.61300000013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18944119.720000003</v>
      </c>
      <c r="D104" s="86">
        <f>D63+D81+D91+D103</f>
        <v>435144.82</v>
      </c>
      <c r="E104" s="86">
        <f>E63+E81+E91+E103</f>
        <v>539562.61300000013</v>
      </c>
      <c r="F104" s="86">
        <f>F63+F81+F91+F103</f>
        <v>0</v>
      </c>
      <c r="G104" s="86">
        <f>G63+G81+G103</f>
        <v>3758.84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9039294.0700000003</v>
      </c>
      <c r="D109" s="24" t="s">
        <v>289</v>
      </c>
      <c r="E109" s="95">
        <f>('DOE25'!L276)+('DOE25'!L295)+('DOE25'!L314)</f>
        <v>151778.28000000003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2215147.7400000002</v>
      </c>
      <c r="D110" s="24" t="s">
        <v>289</v>
      </c>
      <c r="E110" s="95">
        <f>('DOE25'!L277)+('DOE25'!L296)+('DOE25'!L315)</f>
        <v>262911.89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157556.5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46747.69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11458746</v>
      </c>
      <c r="D115" s="86">
        <f>SUM(D109:D114)</f>
        <v>0</v>
      </c>
      <c r="E115" s="86">
        <f>SUM(E109:E114)</f>
        <v>414690.17000000004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1524307.94</v>
      </c>
      <c r="D118" s="24" t="s">
        <v>289</v>
      </c>
      <c r="E118" s="95">
        <f>+('DOE25'!L281)+('DOE25'!L300)+('DOE25'!L319)</f>
        <v>495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1188613.69</v>
      </c>
      <c r="D119" s="24" t="s">
        <v>289</v>
      </c>
      <c r="E119" s="95">
        <f>+('DOE25'!L282)+('DOE25'!L301)+('DOE25'!L320)</f>
        <v>120636.19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610182.16999999993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953578.67999999993</v>
      </c>
      <c r="D121" s="24" t="s">
        <v>289</v>
      </c>
      <c r="E121" s="95">
        <f>+('DOE25'!L284)+('DOE25'!L303)+('DOE25'!L322)</f>
        <v>3741.25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1642262.3599999999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731935.18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434320.34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6650880.0199999996</v>
      </c>
      <c r="D128" s="86">
        <f>SUM(D118:D127)</f>
        <v>434320.34</v>
      </c>
      <c r="E128" s="86">
        <f>SUM(E118:E127)</f>
        <v>124872.44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263230.86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420000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49831.25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3758.84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-3758.84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733062.11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18842688.129999999</v>
      </c>
      <c r="D145" s="86">
        <f>(D115+D128+D144)</f>
        <v>434320.34</v>
      </c>
      <c r="E145" s="86">
        <f>(E115+E128+E144)</f>
        <v>539562.6100000001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07/96</v>
      </c>
      <c r="C152" s="152" t="str">
        <f>'DOE25'!G491</f>
        <v>07/98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08/16</v>
      </c>
      <c r="C153" s="152" t="str">
        <f>'DOE25'!G492</f>
        <v>08/18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3970000</v>
      </c>
      <c r="C154" s="137">
        <f>'DOE25'!G493</f>
        <v>1770000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5.71</v>
      </c>
      <c r="C155" s="137">
        <f>'DOE25'!G494</f>
        <v>4.91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630000</v>
      </c>
      <c r="C156" s="137">
        <f>'DOE25'!G495</f>
        <v>505000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1135000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305000</v>
      </c>
      <c r="C158" s="137">
        <f>'DOE25'!G497</f>
        <v>115000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420000</v>
      </c>
    </row>
    <row r="159" spans="1:9" x14ac:dyDescent="0.2">
      <c r="A159" s="22" t="s">
        <v>35</v>
      </c>
      <c r="B159" s="137">
        <f>'DOE25'!F498</f>
        <v>325000</v>
      </c>
      <c r="C159" s="137">
        <f>'DOE25'!G498</f>
        <v>390000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715000</v>
      </c>
    </row>
    <row r="160" spans="1:9" x14ac:dyDescent="0.2">
      <c r="A160" s="22" t="s">
        <v>36</v>
      </c>
      <c r="B160" s="137">
        <f>'DOE25'!F499</f>
        <v>9343.75</v>
      </c>
      <c r="C160" s="137">
        <f>'DOE25'!G499</f>
        <v>29750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39093.75</v>
      </c>
    </row>
    <row r="161" spans="1:7" x14ac:dyDescent="0.2">
      <c r="A161" s="22" t="s">
        <v>37</v>
      </c>
      <c r="B161" s="137">
        <f>'DOE25'!F500</f>
        <v>334343.75</v>
      </c>
      <c r="C161" s="137">
        <f>'DOE25'!G500</f>
        <v>419750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754093.75</v>
      </c>
    </row>
    <row r="162" spans="1:7" x14ac:dyDescent="0.2">
      <c r="A162" s="22" t="s">
        <v>38</v>
      </c>
      <c r="B162" s="137">
        <f>'DOE25'!F501</f>
        <v>325000</v>
      </c>
      <c r="C162" s="137">
        <f>'DOE25'!G501</f>
        <v>125000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450000</v>
      </c>
    </row>
    <row r="163" spans="1:7" x14ac:dyDescent="0.2">
      <c r="A163" s="22" t="s">
        <v>39</v>
      </c>
      <c r="B163" s="137">
        <f>'DOE25'!F502</f>
        <v>9343.75</v>
      </c>
      <c r="C163" s="137">
        <f>'DOE25'!G502</f>
        <v>16375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25718.75</v>
      </c>
    </row>
    <row r="164" spans="1:7" x14ac:dyDescent="0.2">
      <c r="A164" s="22" t="s">
        <v>246</v>
      </c>
      <c r="B164" s="137">
        <f>'DOE25'!F503</f>
        <v>334343.75</v>
      </c>
      <c r="C164" s="137">
        <f>'DOE25'!G503</f>
        <v>141375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475718.75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Hampton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15770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15770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9191072</v>
      </c>
      <c r="D10" s="182">
        <f>ROUND((C10/$C$28)*100,1)</f>
        <v>48.8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2478060</v>
      </c>
      <c r="D11" s="182">
        <f>ROUND((C11/$C$28)*100,1)</f>
        <v>13.2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157557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1524803</v>
      </c>
      <c r="D15" s="182">
        <f t="shared" ref="D15:D27" si="0">ROUND((C15/$C$28)*100,1)</f>
        <v>8.1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1309250</v>
      </c>
      <c r="D16" s="182">
        <f t="shared" si="0"/>
        <v>6.9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610182</v>
      </c>
      <c r="D17" s="182">
        <f t="shared" si="0"/>
        <v>3.2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957320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1642262</v>
      </c>
      <c r="D20" s="182">
        <f t="shared" si="0"/>
        <v>8.6999999999999993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731935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46748</v>
      </c>
      <c r="D23" s="182">
        <f t="shared" si="0"/>
        <v>0.2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49831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145118.31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18844138.309999999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263231</v>
      </c>
    </row>
    <row r="30" spans="1:4" x14ac:dyDescent="0.2">
      <c r="B30" s="187" t="s">
        <v>729</v>
      </c>
      <c r="C30" s="180">
        <f>SUM(C28:C29)</f>
        <v>19107369.309999999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420000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14049081</v>
      </c>
      <c r="D35" s="182">
        <f t="shared" ref="D35:D40" si="1">ROUND((C35/$C$41)*100,1)</f>
        <v>71.599999999999994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163589.81000000052</v>
      </c>
      <c r="D36" s="182">
        <f t="shared" si="1"/>
        <v>0.8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4484556</v>
      </c>
      <c r="D37" s="182">
        <f t="shared" si="1"/>
        <v>22.8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136110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800048</v>
      </c>
      <c r="D39" s="182">
        <f t="shared" si="1"/>
        <v>4.0999999999999996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19633384.810000002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7" sqref="C7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Hampton School District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3</v>
      </c>
      <c r="B4" s="219">
        <v>24</v>
      </c>
      <c r="C4" s="292" t="s">
        <v>917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5</v>
      </c>
      <c r="B6" s="219">
        <v>14</v>
      </c>
      <c r="C6" s="286" t="s">
        <v>918</v>
      </c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2016-10-04T16:43:38Z</cp:lastPrinted>
  <dcterms:created xsi:type="dcterms:W3CDTF">1997-12-04T19:04:30Z</dcterms:created>
  <dcterms:modified xsi:type="dcterms:W3CDTF">2016-10-04T16:45:20Z</dcterms:modified>
</cp:coreProperties>
</file>