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1860" yWindow="210" windowWidth="21150" windowHeight="11475" tabRatio="855" activeTab="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5" i="1" l="1"/>
  <c r="K531" i="1" l="1"/>
  <c r="J521" i="1"/>
  <c r="I521" i="1"/>
  <c r="H521" i="1"/>
  <c r="G521" i="1"/>
  <c r="F521" i="1"/>
  <c r="C20" i="12"/>
  <c r="G531" i="1"/>
  <c r="C19" i="12"/>
  <c r="C10" i="12"/>
  <c r="C21" i="12"/>
  <c r="C12" i="12"/>
  <c r="G203" i="1"/>
  <c r="F502" i="1"/>
  <c r="B10" i="12"/>
  <c r="B11" i="12"/>
  <c r="B12" i="12"/>
  <c r="B21" i="12"/>
  <c r="B19" i="12"/>
  <c r="B20" i="12"/>
  <c r="F531" i="1"/>
  <c r="K283" i="1"/>
  <c r="I203" i="1"/>
  <c r="H208" i="1"/>
  <c r="H207" i="1"/>
  <c r="H204" i="1"/>
  <c r="H203" i="1"/>
  <c r="F202" i="1"/>
  <c r="F197" i="1"/>
  <c r="F203" i="1"/>
  <c r="H604" i="1"/>
  <c r="F110" i="1"/>
  <c r="F29" i="1" l="1"/>
  <c r="F9" i="1"/>
  <c r="G459" i="1"/>
  <c r="G440" i="1"/>
  <c r="H396" i="1"/>
  <c r="H397" i="1"/>
  <c r="H399" i="1"/>
  <c r="J96" i="1" l="1"/>
  <c r="H159" i="1"/>
  <c r="H155" i="1"/>
  <c r="H154" i="1"/>
  <c r="F367" i="1"/>
  <c r="I358" i="1"/>
  <c r="H358" i="1"/>
  <c r="F358" i="1"/>
  <c r="G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J640" i="1" s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F660" i="1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A13" i="12"/>
  <c r="F22" i="13"/>
  <c r="H25" i="13"/>
  <c r="C25" i="13" s="1"/>
  <c r="J651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E33" i="13" l="1"/>
  <c r="D35" i="13" s="1"/>
  <c r="C81" i="2"/>
  <c r="C62" i="2"/>
  <c r="C63" i="2" s="1"/>
  <c r="F664" i="1"/>
  <c r="I661" i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D31" i="13" l="1"/>
  <c r="C31" i="13" s="1"/>
  <c r="G672" i="1"/>
  <c r="C5" i="10" s="1"/>
  <c r="C104" i="2"/>
  <c r="I193" i="1"/>
  <c r="G630" i="1" s="1"/>
  <c r="J630" i="1" s="1"/>
  <c r="I660" i="1"/>
  <c r="I664" i="1" s="1"/>
  <c r="I672" i="1" s="1"/>
  <c r="C7" i="10" s="1"/>
  <c r="F672" i="1"/>
  <c r="C4" i="10" s="1"/>
  <c r="F667" i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<sst xmlns="http://schemas.openxmlformats.org/spreadsheetml/2006/main" count="3960" uniqueCount="917">
  <si>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</si>
  <si>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</si>
  <si>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</si>
  <si>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</si>
  <si>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</si>
  <si>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</si>
  <si>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</si>
  <si>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</si>
  <si>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</si>
  <si>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</si>
  <si>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</si>
  <si>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</si>
  <si>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</si>
  <si>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</si>
  <si>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</si>
  <si>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</si>
  <si>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</si>
  <si>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</si>
  <si>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</si>
  <si>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</si>
  <si>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</si>
  <si>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</si>
  <si>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</si>
  <si>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</si>
  <si>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</si>
  <si>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</si>
  <si>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</si>
  <si>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</si>
  <si>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</si>
  <si>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</si>
  <si>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</si>
  <si>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</si>
  <si>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</si>
  <si>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</si>
  <si>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</si>
  <si>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</si>
  <si>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</si>
  <si>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</si>
  <si>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</si>
  <si>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</si>
  <si>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</si>
  <si>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</si>
  <si>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</si>
  <si>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</si>
  <si>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</si>
  <si>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</si>
  <si>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</si>
  <si>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</si>
  <si>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</si>
  <si>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</si>
  <si>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</si>
  <si>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</si>
  <si>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</si>
  <si>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</si>
  <si>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</si>
  <si>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</si>
  <si>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</si>
  <si>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</si>
  <si>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</si>
  <si>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</si>
  <si>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</si>
  <si>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</si>
  <si>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</si>
  <si>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</si>
  <si>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</si>
  <si>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</si>
  <si>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</si>
  <si>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</si>
  <si>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</si>
  <si>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</si>
  <si>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</si>
  <si>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</si>
  <si>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</si>
  <si>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</si>
  <si>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</si>
  <si>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</si>
  <si>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</si>
  <si>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</si>
  <si>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</si>
  <si>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</si>
  <si>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</si>
  <si>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</si>
  <si>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</si>
  <si>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</si>
  <si>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</si>
  <si>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</si>
  <si>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</si>
  <si>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</si>
  <si>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</si>
  <si>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</si>
  <si>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</si>
  <si>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</si>
  <si>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</si>
  <si>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</si>
  <si>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</si>
  <si>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</si>
  <si>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</si>
  <si>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</si>
  <si>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</si>
  <si>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</si>
  <si>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</si>
  <si>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</si>
  <si>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</si>
  <si>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</si>
  <si>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</si>
  <si>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</si>
  <si>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</si>
  <si>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</si>
  <si>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</si>
  <si>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</si>
  <si>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</si>
  <si>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</si>
  <si>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</si>
  <si>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</si>
  <si>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</si>
  <si>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</si>
  <si>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</si>
  <si>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</si>
  <si>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</si>
  <si>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</si>
  <si>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</si>
  <si>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</si>
  <si>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</si>
  <si>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</si>
  <si>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</si>
  <si>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</si>
  <si>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</si>
  <si>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</si>
  <si>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</si>
  <si>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</si>
  <si>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</si>
  <si>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</si>
  <si>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</si>
  <si>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</si>
  <si>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</si>
  <si>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</si>
  <si>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</si>
  <si>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</si>
  <si>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</si>
  <si>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</si>
  <si>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</si>
  <si>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</si>
  <si>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</si>
  <si>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</si>
  <si>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</si>
  <si>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</si>
  <si>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</si>
  <si>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</si>
  <si>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</si>
  <si>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</si>
  <si>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</si>
  <si>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</si>
  <si>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</si>
  <si>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</si>
  <si>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</si>
  <si>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</si>
  <si>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</si>
  <si>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</si>
  <si>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</si>
  <si>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</si>
  <si>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</si>
  <si>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</si>
  <si>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</si>
  <si>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</si>
  <si>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</si>
  <si>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</si>
  <si>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</si>
  <si>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</si>
  <si>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</si>
  <si>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</si>
  <si>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</si>
  <si>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</si>
  <si>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</si>
  <si>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</si>
  <si>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</si>
  <si>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</si>
  <si>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</si>
  <si>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</si>
  <si>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</si>
  <si>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</si>
  <si>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</si>
  <si>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</si>
  <si>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</si>
  <si>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</si>
  <si>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</si>
  <si>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</si>
  <si>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</si>
  <si>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</si>
  <si>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</si>
  <si>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</si>
  <si>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</si>
  <si>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</si>
  <si>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</si>
  <si>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</si>
  <si>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</si>
  <si>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</si>
  <si>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</si>
  <si>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</si>
  <si>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</si>
  <si>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</si>
  <si>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</si>
  <si>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</si>
  <si>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</si>
  <si>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</si>
  <si>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</si>
  <si>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</si>
  <si>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</si>
  <si>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</si>
  <si>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</si>
  <si>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</si>
  <si>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</si>
  <si>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</si>
  <si>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</si>
  <si>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</si>
  <si>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</si>
  <si>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</si>
  <si>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</si>
  <si>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</si>
  <si>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</si>
  <si>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</si>
  <si>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</si>
  <si>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</si>
  <si>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</si>
  <si>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</si>
  <si>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</si>
  <si>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</si>
  <si>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</si>
  <si>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</si>
  <si>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</si>
  <si>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</si>
  <si>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</si>
  <si>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</si>
  <si>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</si>
  <si>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</si>
  <si>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</si>
  <si>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</si>
  <si>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</si>
  <si>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</si>
  <si>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</si>
  <si>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</si>
  <si>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</si>
  <si>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</si>
  <si>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</si>
  <si>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</si>
  <si>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</si>
  <si>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</si>
  <si>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</si>
  <si>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</si>
  <si>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</si>
  <si>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</si>
  <si>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</si>
  <si>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</si>
  <si>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</si>
  <si>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</si>
  <si>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</si>
  <si>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</si>
  <si>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</si>
  <si>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</si>
  <si>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</si>
  <si>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</si>
  <si>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</si>
  <si>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</si>
  <si>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</si>
  <si>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</si>
  <si>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</si>
  <si>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</si>
  <si>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</si>
  <si>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</si>
  <si>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</si>
  <si>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</si>
  <si>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</si>
  <si>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</si>
  <si>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</si>
  <si>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</si>
  <si>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</si>
  <si>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</si>
  <si>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</si>
  <si>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</si>
  <si>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</si>
  <si>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</si>
  <si>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</si>
  <si>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</si>
  <si>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</si>
  <si>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</si>
  <si>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</si>
  <si>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</si>
  <si>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</si>
  <si>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</si>
  <si>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</si>
  <si>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</si>
  <si>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</si>
  <si>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</si>
  <si>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</si>
  <si>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</si>
  <si>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</si>
  <si>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</si>
  <si>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</si>
  <si>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</si>
  <si>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</si>
  <si>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</si>
  <si>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</si>
  <si>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</si>
  <si>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</si>
  <si>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</si>
  <si>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</si>
  <si>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</si>
  <si>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</si>
  <si>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</si>
  <si>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</si>
  <si>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</si>
  <si>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</si>
  <si>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</si>
  <si>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</si>
  <si>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</si>
  <si>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</si>
  <si>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</si>
  <si>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</si>
  <si>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</si>
  <si>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</si>
  <si>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</si>
  <si>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</si>
  <si>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</si>
  <si>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</si>
  <si>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</si>
  <si>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</si>
  <si>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</si>
  <si>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</si>
  <si>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</si>
  <si>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</si>
  <si>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</si>
  <si>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</si>
  <si>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</si>
  <si>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</si>
  <si>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</si>
  <si>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</si>
  <si>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</si>
  <si>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</si>
  <si>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</si>
  <si>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</si>
  <si>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</si>
  <si>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</si>
  <si>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</si>
  <si>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</si>
  <si>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</si>
  <si>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</si>
  <si>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</si>
  <si>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</si>
  <si>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</si>
  <si>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</si>
  <si>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</si>
  <si>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</si>
  <si>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</si>
  <si>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</si>
  <si>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</si>
  <si>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</si>
  <si>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</si>
  <si>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</si>
  <si>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</si>
  <si>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</si>
  <si>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</si>
  <si>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</si>
  <si>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</si>
  <si>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</si>
  <si>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</si>
  <si>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</si>
  <si>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</si>
  <si>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</si>
  <si>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</si>
  <si>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</si>
  <si>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</si>
  <si>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</si>
  <si>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</si>
  <si>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</si>
  <si>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</si>
  <si>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</si>
  <si>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</si>
  <si>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</si>
  <si>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</si>
  <si>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</si>
  <si>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</si>
  <si>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</si>
  <si>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</si>
  <si>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</si>
  <si>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</si>
  <si>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</si>
  <si>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</si>
  <si>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</si>
  <si>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</si>
  <si>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</si>
  <si>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</si>
  <si>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</si>
  <si>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</si>
  <si>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</si>
  <si>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</si>
  <si>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</si>
  <si>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</si>
  <si>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</si>
  <si>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</si>
  <si>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</si>
  <si>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</si>
  <si>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</si>
  <si>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</si>
  <si>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</si>
  <si>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</si>
  <si>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</si>
  <si>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</si>
  <si>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</si>
  <si>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</si>
  <si>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</si>
  <si>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</si>
  <si>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</si>
  <si>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</si>
  <si>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</si>
  <si>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</si>
  <si>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</si>
  <si>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</si>
  <si>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</si>
  <si>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</si>
  <si>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</si>
  <si>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</si>
  <si>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</si>
  <si>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</si>
  <si>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</si>
  <si>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</si>
  <si>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</si>
  <si>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</si>
  <si>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</si>
  <si>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</si>
  <si>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</si>
  <si>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</si>
  <si>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</si>
  <si>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</si>
  <si>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</si>
  <si>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</si>
  <si>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</si>
  <si>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</si>
  <si>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</si>
  <si>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</si>
  <si>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</si>
  <si>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</si>
  <si>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</si>
  <si>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</si>
  <si>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</si>
  <si>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</si>
  <si>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</si>
  <si>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</si>
  <si>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</si>
  <si>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</si>
  <si>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</si>
  <si>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</si>
  <si>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</si>
  <si>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</si>
  <si>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</si>
  <si>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</si>
  <si>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</si>
  <si>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</si>
  <si>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</si>
  <si>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</si>
  <si>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</si>
  <si>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</si>
  <si>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</si>
  <si>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</si>
  <si>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</si>
  <si>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</si>
  <si>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</si>
  <si>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</si>
  <si>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</si>
  <si>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</si>
  <si>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</si>
  <si>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</si>
  <si>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</si>
  <si>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</si>
  <si>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</si>
  <si>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</si>
  <si>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</si>
  <si>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</si>
  <si>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</si>
  <si>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</si>
  <si>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</si>
  <si>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</si>
  <si>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</si>
  <si>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</si>
  <si>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</si>
  <si>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</si>
  <si>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</si>
  <si>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</si>
  <si>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</si>
  <si>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</si>
  <si>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</si>
  <si>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</si>
  <si>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</si>
  <si>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</si>
  <si>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</si>
  <si>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</si>
  <si>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</si>
  <si>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</si>
  <si>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</si>
  <si>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</si>
  <si>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</si>
  <si>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</si>
  <si>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</si>
  <si>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</si>
  <si>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</si>
  <si>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</si>
  <si>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</si>
  <si>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</si>
  <si>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</si>
  <si>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</si>
  <si>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</si>
  <si>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</si>
  <si>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</si>
  <si>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</si>
  <si>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</si>
  <si>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</si>
  <si>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</si>
  <si>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</si>
  <si>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</si>
  <si>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</si>
  <si>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</si>
  <si>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</si>
  <si>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</si>
  <si>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</si>
  <si>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</si>
  <si>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</si>
  <si>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</si>
  <si>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</si>
  <si>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</si>
  <si>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</si>
  <si>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</si>
  <si>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</si>
  <si>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</si>
  <si>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</si>
  <si>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</si>
  <si>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</si>
  <si>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</si>
  <si>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</si>
  <si>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</si>
  <si>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</si>
  <si>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</si>
  <si>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</si>
  <si>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</si>
  <si>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</si>
  <si>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</si>
  <si>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</si>
  <si>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</si>
  <si>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</si>
  <si>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</si>
  <si>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</si>
  <si>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</si>
  <si>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</si>
  <si>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</si>
  <si>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</si>
  <si>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</si>
  <si>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</si>
  <si>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</si>
  <si>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</si>
  <si>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</si>
  <si>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</si>
  <si>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</si>
  <si>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</si>
  <si>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</si>
  <si>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</si>
  <si>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</si>
  <si>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</si>
  <si>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</si>
  <si>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</si>
  <si>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</si>
  <si>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</si>
  <si>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</si>
  <si>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</si>
  <si>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</si>
  <si>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</si>
  <si>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</si>
  <si>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</si>
  <si>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</si>
  <si>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</si>
  <si>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</si>
  <si>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</si>
  <si>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</si>
  <si>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</si>
  <si>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</si>
  <si>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</si>
  <si>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</si>
  <si>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</si>
  <si>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</si>
  <si>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</si>
  <si>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</si>
  <si>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</si>
  <si>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</si>
  <si>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</si>
  <si>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</si>
  <si>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</si>
  <si>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</si>
  <si>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</si>
  <si>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</si>
  <si>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</si>
  <si>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</si>
  <si>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</si>
  <si>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</si>
  <si>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</si>
  <si>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</si>
  <si>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</si>
  <si>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</si>
  <si>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</si>
  <si>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</si>
  <si>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</si>
  <si>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</si>
  <si>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</si>
  <si>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</si>
  <si>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</si>
  <si>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</si>
  <si>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</si>
  <si>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</si>
  <si>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</si>
  <si>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</si>
  <si>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</si>
  <si>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</si>
  <si>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</si>
  <si>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</si>
  <si>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</si>
  <si>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</si>
  <si>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</si>
  <si>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</si>
  <si>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</si>
  <si>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</si>
  <si>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</si>
  <si>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</si>
  <si>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</si>
  <si>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</si>
  <si>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</si>
  <si>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</si>
  <si>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</si>
  <si>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</si>
  <si>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</si>
  <si>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</si>
  <si>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</si>
  <si>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</si>
  <si>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</si>
  <si>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</si>
  <si>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</si>
  <si>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</si>
  <si>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</si>
  <si>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</si>
  <si>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</si>
  <si>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</si>
  <si>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</si>
  <si>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</si>
  <si>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</si>
  <si>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</si>
  <si>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</si>
  <si>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</si>
  <si>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</si>
  <si>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</si>
  <si>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</si>
  <si>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</si>
  <si>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</si>
  <si>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</si>
  <si>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</si>
  <si>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</si>
  <si>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</si>
  <si>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</si>
  <si>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</si>
  <si>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</si>
  <si>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</si>
  <si>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</si>
  <si>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</si>
  <si>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</si>
  <si>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</si>
  <si>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</si>
  <si>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</si>
  <si>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</si>
  <si>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</si>
  <si>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</si>
  <si>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</si>
  <si>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</si>
  <si>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</si>
  <si>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</si>
  <si>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</si>
  <si>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</si>
  <si>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</si>
  <si>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</si>
  <si>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</si>
  <si>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</si>
  <si>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</si>
  <si>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</si>
  <si>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</si>
  <si>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</si>
  <si>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</si>
  <si>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</si>
  <si>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</si>
  <si>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</si>
  <si>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</si>
  <si>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</si>
  <si>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</si>
  <si>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</si>
  <si>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</si>
  <si>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</si>
  <si>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</si>
  <si>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</si>
  <si>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</si>
  <si>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</si>
  <si>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</si>
  <si>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</si>
  <si>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</si>
  <si>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</si>
  <si>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</si>
  <si>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</si>
  <si>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</si>
  <si>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</si>
  <si>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</si>
  <si>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</si>
  <si>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</si>
  <si>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</si>
  <si>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</si>
  <si>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</si>
  <si>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</si>
  <si>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</si>
  <si>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</si>
  <si>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</si>
  <si>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</si>
  <si>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</si>
  <si>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</si>
  <si>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</si>
  <si>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</si>
  <si>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</si>
  <si>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</si>
  <si>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</si>
  <si>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</si>
  <si>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</si>
  <si>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</si>
  <si>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</si>
  <si>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</si>
  <si>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</si>
  <si>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</si>
  <si>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</si>
  <si>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</si>
  <si>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</si>
  <si>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</si>
  <si>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</si>
  <si>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</si>
  <si>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</si>
  <si>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</si>
  <si>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</si>
  <si>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</si>
  <si>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</si>
  <si>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</si>
  <si>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</si>
  <si>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</si>
  <si>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</si>
  <si>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</si>
  <si>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</si>
  <si>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</si>
  <si>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</si>
  <si>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</si>
  <si>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</si>
  <si>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</si>
  <si>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</si>
  <si>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</si>
  <si>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</si>
  <si>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</si>
  <si>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</si>
  <si>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</si>
  <si>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</si>
  <si>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</si>
  <si>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</si>
  <si>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</si>
  <si>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</si>
  <si>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</si>
  <si>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</si>
  <si>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</si>
  <si>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</si>
  <si>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</si>
  <si>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</si>
  <si>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</si>
  <si>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</si>
  <si>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</si>
  <si>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</si>
  <si>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</si>
  <si>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</si>
  <si>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</si>
  <si>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</si>
  <si>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</si>
  <si>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</si>
  <si>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</si>
  <si>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</si>
  <si>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</si>
  <si>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</si>
  <si>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</si>
  <si>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</si>
  <si>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</si>
  <si>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</si>
  <si>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</si>
  <si>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</si>
  <si>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</si>
  <si>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</si>
  <si>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</si>
  <si>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</si>
  <si>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</si>
  <si>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</si>
  <si>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</si>
  <si>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</si>
  <si>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</si>
  <si>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</si>
  <si>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</si>
  <si>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</si>
  <si>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</si>
  <si>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</si>
  <si>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</si>
  <si>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</si>
  <si>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</si>
  <si>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</si>
  <si>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</si>
  <si>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</si>
  <si>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</si>
  <si>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</si>
  <si>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</si>
  <si>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</si>
  <si>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</si>
  <si>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</si>
  <si>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</si>
  <si>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</si>
  <si>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</si>
  <si>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</si>
  <si>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</si>
  <si>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</si>
  <si>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</si>
  <si>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</si>
  <si>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</si>
  <si>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</si>
  <si>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</si>
  <si>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</si>
  <si>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</si>
  <si>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</si>
  <si>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</si>
  <si>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</si>
  <si>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</si>
  <si>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</si>
  <si>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</si>
  <si>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</si>
  <si>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</si>
  <si>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</si>
  <si>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</si>
  <si>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</si>
  <si>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</si>
  <si>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</si>
  <si>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</si>
  <si>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</si>
  <si>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</si>
  <si>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</si>
  <si>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</si>
  <si>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</si>
  <si>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</si>
  <si>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</si>
  <si>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</si>
  <si>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</si>
  <si>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</si>
  <si>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</si>
  <si>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</si>
  <si>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</si>
  <si>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</si>
  <si>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</si>
  <si>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</si>
  <si>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</si>
  <si>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</si>
  <si>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</si>
  <si>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</si>
  <si>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</si>
  <si>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</si>
  <si>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</si>
  <si>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</si>
  <si>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</si>
  <si>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</si>
  <si>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</si>
  <si>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</si>
  <si>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</si>
  <si>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</si>
  <si>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</si>
  <si>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</si>
  <si>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</si>
  <si>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</si>
  <si>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</si>
  <si>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</si>
  <si>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</si>
  <si>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</si>
  <si>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</si>
  <si>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</si>
  <si>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</si>
  <si>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</si>
  <si>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</si>
  <si>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</si>
  <si>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</si>
  <si>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</si>
  <si>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</si>
  <si>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</si>
  <si>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</si>
  <si>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</si>
  <si>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</si>
  <si>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</si>
  <si>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</si>
  <si>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</si>
  <si>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</si>
  <si>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</si>
  <si>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</si>
  <si>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</si>
  <si>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</si>
  <si>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</si>
  <si>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</si>
  <si>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</si>
  <si>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</si>
  <si>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</si>
  <si>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</si>
  <si>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</si>
  <si>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HAMPTON FALLS</t>
  </si>
  <si>
    <t>August 2004</t>
  </si>
  <si>
    <t>August 2024</t>
  </si>
  <si>
    <t>Other Revenue inclues $50,480.18 for LGC Refund</t>
  </si>
  <si>
    <t>Per auditors adjustment - prior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</si>
</sst>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227</v>
      </c>
      <c r="C2" s="21">
        <v>227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379013.3+228.98</f>
        <v>379242.27999999997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126882.35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10609.31</v>
      </c>
      <c r="G12" s="18">
        <v>2086.84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151.80000000000001</v>
      </c>
      <c r="G13" s="18">
        <v>1494.56</v>
      </c>
      <c r="H13" s="18">
        <v>13267.33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1436.48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3268.47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391439.86999999994</v>
      </c>
      <c r="G19" s="41">
        <f>SUM(G9:G18)</f>
        <v>6849.87</v>
      </c>
      <c r="H19" s="41">
        <f>SUM(H9:H18)</f>
        <v>13267.33</v>
      </c>
      <c r="I19" s="41">
        <f>SUM(I9:I18)</f>
        <v>0</v>
      </c>
      <c r="J19" s="41">
        <f>SUM(J9:J18)</f>
        <v>126882.35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12696.15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78306.22</v>
      </c>
      <c r="G24" s="18">
        <v>64.02</v>
      </c>
      <c r="H24" s="18">
        <v>571.17999999999995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4068.4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311.22+7128.83+821.49+489.74</f>
        <v>8751.2800000000007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3511.6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91125.9</v>
      </c>
      <c r="G32" s="41">
        <f>SUM(G22:G31)</f>
        <v>3575.62</v>
      </c>
      <c r="H32" s="41">
        <f>SUM(H22:H31)</f>
        <v>13267.33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3268.47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5.78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126882.35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8103.68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242210.29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300313.97000000003</v>
      </c>
      <c r="G51" s="41">
        <f>SUM(G35:G50)</f>
        <v>3274.25</v>
      </c>
      <c r="H51" s="41">
        <f>SUM(H35:H50)</f>
        <v>0</v>
      </c>
      <c r="I51" s="41">
        <f>SUM(I35:I50)</f>
        <v>0</v>
      </c>
      <c r="J51" s="41">
        <f>SUM(J35:J50)</f>
        <v>126882.35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391439.87</v>
      </c>
      <c r="G52" s="41">
        <f>G51+G32</f>
        <v>6849.87</v>
      </c>
      <c r="H52" s="41">
        <f>H51+H32</f>
        <v>13267.33</v>
      </c>
      <c r="I52" s="41">
        <f>I51+I32</f>
        <v>0</v>
      </c>
      <c r="J52" s="41">
        <f>J51+J32</f>
        <v>126882.35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4719695.99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4719695.99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67.37</v>
      </c>
      <c r="G96" s="18"/>
      <c r="H96" s="18"/>
      <c r="I96" s="18"/>
      <c r="J96" s="18">
        <f>254.59+2596.39+2338.27</f>
        <v>5189.25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90360.24+81</f>
        <v>90441.24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50480.18+12330.6-484.43</f>
        <v>62326.35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62393.72</v>
      </c>
      <c r="G111" s="41">
        <f>SUM(G96:G110)</f>
        <v>90441.24</v>
      </c>
      <c r="H111" s="41">
        <f>SUM(H96:H110)</f>
        <v>0</v>
      </c>
      <c r="I111" s="41">
        <f>SUM(I96:I110)</f>
        <v>0</v>
      </c>
      <c r="J111" s="41">
        <f>SUM(J96:J110)</f>
        <v>5189.25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4782089.71</v>
      </c>
      <c r="G112" s="41">
        <f>G60+G111</f>
        <v>90441.24</v>
      </c>
      <c r="H112" s="41">
        <f>H60+H79+H94+H111</f>
        <v>0</v>
      </c>
      <c r="I112" s="41">
        <f>I60+I111</f>
        <v>0</v>
      </c>
      <c r="J112" s="41">
        <f>J60+J111</f>
        <v>5189.25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130490.3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714750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845240.3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1503.36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959.81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959.81</v>
      </c>
      <c r="G136" s="41">
        <f>SUM(G123:G135)</f>
        <v>1503.36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846200.1100000001</v>
      </c>
      <c r="G140" s="41">
        <f>G121+SUM(G136:G137)</f>
        <v>1503.36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160.35+11661.6</f>
        <v>11821.95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2548.92+989.65</f>
        <v>3538.57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20364.03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60681.3+396.28</f>
        <v>61077.58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23496.19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23496.19</v>
      </c>
      <c r="G162" s="41">
        <f>SUM(G150:G161)</f>
        <v>20364.03</v>
      </c>
      <c r="H162" s="41">
        <f>SUM(H150:H161)</f>
        <v>76438.100000000006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6746.31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23496.19</v>
      </c>
      <c r="G169" s="41">
        <f>G147+G162+SUM(G163:G168)</f>
        <v>27110.34</v>
      </c>
      <c r="H169" s="41">
        <f>H147+H162+SUM(H163:H168)</f>
        <v>76438.100000000006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40050</v>
      </c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40050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33118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33118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33118</v>
      </c>
      <c r="G192" s="41">
        <f>G183+SUM(G188:G191)</f>
        <v>40050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5684904.0100000007</v>
      </c>
      <c r="G193" s="47">
        <f>G112+G140+G169+G192</f>
        <v>159104.94</v>
      </c>
      <c r="H193" s="47">
        <f>H112+H140+H169+H192</f>
        <v>76438.100000000006</v>
      </c>
      <c r="I193" s="47">
        <f>I112+I140+I169+I192</f>
        <v>0</v>
      </c>
      <c r="J193" s="47">
        <f>J112+J140+J192</f>
        <v>55189.25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1619646.84+83.08</f>
        <v>1619729.9200000002</v>
      </c>
      <c r="G197" s="18">
        <v>735062.25</v>
      </c>
      <c r="H197" s="18">
        <v>10380.49</v>
      </c>
      <c r="I197" s="18">
        <v>42571.18</v>
      </c>
      <c r="J197" s="18">
        <v>6542.74</v>
      </c>
      <c r="K197" s="18"/>
      <c r="L197" s="19">
        <f>SUM(F197:K197)</f>
        <v>2414286.5800000005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674650.75</v>
      </c>
      <c r="G198" s="18">
        <v>245602.71</v>
      </c>
      <c r="H198" s="18">
        <v>220279.01</v>
      </c>
      <c r="I198" s="18">
        <v>2185.84</v>
      </c>
      <c r="J198" s="18">
        <v>266.67</v>
      </c>
      <c r="K198" s="18">
        <v>872</v>
      </c>
      <c r="L198" s="19">
        <f>SUM(F198:K198)</f>
        <v>1143856.98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36158.9</v>
      </c>
      <c r="G200" s="18">
        <v>2928.87</v>
      </c>
      <c r="H200" s="18">
        <v>11310.55</v>
      </c>
      <c r="I200" s="18">
        <v>2289.5100000000002</v>
      </c>
      <c r="J200" s="18">
        <v>843.19</v>
      </c>
      <c r="K200" s="18"/>
      <c r="L200" s="19">
        <f>SUM(F200:K200)</f>
        <v>53531.020000000011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43659.87+67063</f>
        <v>110722.87</v>
      </c>
      <c r="G202" s="18">
        <v>45395.12</v>
      </c>
      <c r="H202" s="18">
        <v>345</v>
      </c>
      <c r="I202" s="18">
        <v>2039.15</v>
      </c>
      <c r="J202" s="18">
        <v>62.9</v>
      </c>
      <c r="K202" s="18">
        <v>174</v>
      </c>
      <c r="L202" s="19">
        <f t="shared" ref="L202:L208" si="0">SUM(F202:K202)</f>
        <v>158739.03999999998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9125+54298.98+71677.65</f>
        <v>135101.63</v>
      </c>
      <c r="G203" s="18">
        <f>2558+55892.37</f>
        <v>58450.37</v>
      </c>
      <c r="H203" s="18">
        <f>9492.42+130+2426.08</f>
        <v>12048.5</v>
      </c>
      <c r="I203" s="18">
        <f>113.31+10069.42+19743.66</f>
        <v>29926.39</v>
      </c>
      <c r="J203" s="18">
        <v>17555.98</v>
      </c>
      <c r="K203" s="18"/>
      <c r="L203" s="19">
        <f t="shared" si="0"/>
        <v>253082.87000000002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18391</v>
      </c>
      <c r="G204" s="18">
        <v>1406.91</v>
      </c>
      <c r="H204" s="18">
        <f>21385.16+107444</f>
        <v>128829.16</v>
      </c>
      <c r="I204" s="18"/>
      <c r="J204" s="18"/>
      <c r="K204" s="18">
        <v>3267.06</v>
      </c>
      <c r="L204" s="19">
        <f t="shared" si="0"/>
        <v>151894.13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145811.35999999999</v>
      </c>
      <c r="G205" s="18">
        <v>53052.11</v>
      </c>
      <c r="H205" s="18">
        <v>2799.22</v>
      </c>
      <c r="I205" s="18">
        <v>1616.04</v>
      </c>
      <c r="J205" s="18"/>
      <c r="K205" s="18">
        <v>307.10000000000002</v>
      </c>
      <c r="L205" s="19">
        <f t="shared" si="0"/>
        <v>203585.83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149323.70000000001</v>
      </c>
      <c r="G207" s="18">
        <v>55240.12</v>
      </c>
      <c r="H207" s="18">
        <f>188678.26+32951.1</f>
        <v>221629.36000000002</v>
      </c>
      <c r="I207" s="18">
        <v>104112.12</v>
      </c>
      <c r="J207" s="18">
        <v>185914.44</v>
      </c>
      <c r="K207" s="18">
        <v>50</v>
      </c>
      <c r="L207" s="19">
        <f t="shared" si="0"/>
        <v>716269.74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198304.17+420+5246.8+4465.16+22560</f>
        <v>230996.13</v>
      </c>
      <c r="I208" s="18"/>
      <c r="J208" s="18"/>
      <c r="K208" s="18"/>
      <c r="L208" s="19">
        <f t="shared" si="0"/>
        <v>230996.13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>
        <v>384.75</v>
      </c>
      <c r="L209" s="19">
        <f>SUM(F209:K209)</f>
        <v>384.75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2889890.13</v>
      </c>
      <c r="G211" s="41">
        <f t="shared" si="1"/>
        <v>1197138.4600000002</v>
      </c>
      <c r="H211" s="41">
        <f t="shared" si="1"/>
        <v>838617.41999999993</v>
      </c>
      <c r="I211" s="41">
        <f t="shared" si="1"/>
        <v>184740.22999999998</v>
      </c>
      <c r="J211" s="41">
        <f t="shared" si="1"/>
        <v>211185.92000000001</v>
      </c>
      <c r="K211" s="41">
        <f t="shared" si="1"/>
        <v>5054.91</v>
      </c>
      <c r="L211" s="41">
        <f t="shared" si="1"/>
        <v>5326627.07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80690</v>
      </c>
      <c r="I255" s="18"/>
      <c r="J255" s="18"/>
      <c r="K255" s="18"/>
      <c r="L255" s="19">
        <f t="shared" si="6"/>
        <v>80690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80690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80690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2889890.13</v>
      </c>
      <c r="G257" s="41">
        <f t="shared" si="8"/>
        <v>1197138.4600000002</v>
      </c>
      <c r="H257" s="41">
        <f t="shared" si="8"/>
        <v>919307.41999999993</v>
      </c>
      <c r="I257" s="41">
        <f t="shared" si="8"/>
        <v>184740.22999999998</v>
      </c>
      <c r="J257" s="41">
        <f t="shared" si="8"/>
        <v>211185.92000000001</v>
      </c>
      <c r="K257" s="41">
        <f t="shared" si="8"/>
        <v>5054.91</v>
      </c>
      <c r="L257" s="41">
        <f t="shared" si="8"/>
        <v>5407317.0700000003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60000</v>
      </c>
      <c r="L260" s="19">
        <f>SUM(F260:K260)</f>
        <v>60000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31521.5</v>
      </c>
      <c r="L261" s="19">
        <f>SUM(F261:K261)</f>
        <v>31521.5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40050</v>
      </c>
      <c r="L263" s="19">
        <f>SUM(F263:K263)</f>
        <v>40050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181571.5</v>
      </c>
      <c r="L270" s="41">
        <f t="shared" si="9"/>
        <v>181571.5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2889890.13</v>
      </c>
      <c r="G271" s="42">
        <f t="shared" si="11"/>
        <v>1197138.4600000002</v>
      </c>
      <c r="H271" s="42">
        <f t="shared" si="11"/>
        <v>919307.41999999993</v>
      </c>
      <c r="I271" s="42">
        <f t="shared" si="11"/>
        <v>184740.22999999998</v>
      </c>
      <c r="J271" s="42">
        <f t="shared" si="11"/>
        <v>211185.92000000001</v>
      </c>
      <c r="K271" s="42">
        <f t="shared" si="11"/>
        <v>186626.41</v>
      </c>
      <c r="L271" s="42">
        <f t="shared" si="11"/>
        <v>5588888.5700000003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9231.91</v>
      </c>
      <c r="G276" s="18">
        <v>765.33</v>
      </c>
      <c r="H276" s="18">
        <v>3474.42</v>
      </c>
      <c r="I276" s="18"/>
      <c r="J276" s="18"/>
      <c r="K276" s="18"/>
      <c r="L276" s="19">
        <f>SUM(F276:K276)</f>
        <v>13471.66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31557.17</v>
      </c>
      <c r="G277" s="18">
        <v>3305</v>
      </c>
      <c r="H277" s="18">
        <v>20294.66</v>
      </c>
      <c r="I277" s="18">
        <v>2792.99</v>
      </c>
      <c r="J277" s="18">
        <v>2392.0500000000002</v>
      </c>
      <c r="K277" s="18"/>
      <c r="L277" s="19">
        <f>SUM(F277:K277)</f>
        <v>60341.87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1375</v>
      </c>
      <c r="G283" s="18">
        <v>299.11</v>
      </c>
      <c r="H283" s="18"/>
      <c r="I283" s="18"/>
      <c r="J283" s="18"/>
      <c r="K283" s="18">
        <f>379.27+571.18+0.01</f>
        <v>950.45999999999992</v>
      </c>
      <c r="L283" s="19">
        <f t="shared" si="12"/>
        <v>2624.57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42164.08</v>
      </c>
      <c r="G290" s="42">
        <f t="shared" si="13"/>
        <v>4369.4399999999996</v>
      </c>
      <c r="H290" s="42">
        <f t="shared" si="13"/>
        <v>23769.08</v>
      </c>
      <c r="I290" s="42">
        <f t="shared" si="13"/>
        <v>2792.99</v>
      </c>
      <c r="J290" s="42">
        <f t="shared" si="13"/>
        <v>2392.0500000000002</v>
      </c>
      <c r="K290" s="42">
        <f t="shared" si="13"/>
        <v>950.45999999999992</v>
      </c>
      <c r="L290" s="41">
        <f t="shared" si="13"/>
        <v>76438.100000000006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42164.08</v>
      </c>
      <c r="G338" s="41">
        <f t="shared" si="20"/>
        <v>4369.4399999999996</v>
      </c>
      <c r="H338" s="41">
        <f t="shared" si="20"/>
        <v>23769.08</v>
      </c>
      <c r="I338" s="41">
        <f t="shared" si="20"/>
        <v>2792.99</v>
      </c>
      <c r="J338" s="41">
        <f t="shared" si="20"/>
        <v>2392.0500000000002</v>
      </c>
      <c r="K338" s="41">
        <f t="shared" si="20"/>
        <v>950.45999999999992</v>
      </c>
      <c r="L338" s="41">
        <f t="shared" si="20"/>
        <v>76438.100000000006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42164.08</v>
      </c>
      <c r="G352" s="41">
        <f>G338</f>
        <v>4369.4399999999996</v>
      </c>
      <c r="H352" s="41">
        <f>H338</f>
        <v>23769.08</v>
      </c>
      <c r="I352" s="41">
        <f>I338</f>
        <v>2792.99</v>
      </c>
      <c r="J352" s="41">
        <f>J338</f>
        <v>2392.0500000000002</v>
      </c>
      <c r="K352" s="47">
        <f>K338+K351</f>
        <v>950.45999999999992</v>
      </c>
      <c r="L352" s="41">
        <f>L338+L351</f>
        <v>76438.100000000006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40000+33264.38</f>
        <v>73264.38</v>
      </c>
      <c r="G358" s="18"/>
      <c r="H358" s="18">
        <f>1753.79</f>
        <v>1753.79</v>
      </c>
      <c r="I358" s="18">
        <f>2671.95+46573.99+6746.31</f>
        <v>55992.249999999993</v>
      </c>
      <c r="J358" s="18">
        <v>24342.69</v>
      </c>
      <c r="K358" s="18">
        <v>2844.2</v>
      </c>
      <c r="L358" s="13">
        <f>SUM(F358:K358)</f>
        <v>158197.31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73264.38</v>
      </c>
      <c r="G362" s="47">
        <f t="shared" si="22"/>
        <v>0</v>
      </c>
      <c r="H362" s="47">
        <f t="shared" si="22"/>
        <v>1753.79</v>
      </c>
      <c r="I362" s="47">
        <f t="shared" si="22"/>
        <v>55992.249999999993</v>
      </c>
      <c r="J362" s="47">
        <f t="shared" si="22"/>
        <v>24342.69</v>
      </c>
      <c r="K362" s="47">
        <f t="shared" si="22"/>
        <v>2844.2</v>
      </c>
      <c r="L362" s="47">
        <f t="shared" si="22"/>
        <v>158197.31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46573.99+6746.31</f>
        <v>53320.299999999996</v>
      </c>
      <c r="G367" s="18"/>
      <c r="H367" s="18"/>
      <c r="I367" s="56">
        <f>SUM(F367:H367)</f>
        <v>53320.299999999996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2671.95</v>
      </c>
      <c r="G368" s="63"/>
      <c r="H368" s="63"/>
      <c r="I368" s="56">
        <f>SUM(F368:H368)</f>
        <v>2671.95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55992.249999999993</v>
      </c>
      <c r="G369" s="47">
        <f>SUM(G367:G368)</f>
        <v>0</v>
      </c>
      <c r="H369" s="47">
        <f>SUM(H367:H368)</f>
        <v>0</v>
      </c>
      <c r="I369" s="47">
        <f>SUM(I367:I368)</f>
        <v>55992.249999999993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f>36.24+465.32+271.88</f>
        <v>773.44</v>
      </c>
      <c r="I396" s="18"/>
      <c r="J396" s="24" t="s">
        <v>289</v>
      </c>
      <c r="K396" s="24" t="s">
        <v>289</v>
      </c>
      <c r="L396" s="56">
        <f t="shared" si="26"/>
        <v>25773.439999999999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f>215.02+2097.08+2037.15</f>
        <v>4349.25</v>
      </c>
      <c r="I397" s="18"/>
      <c r="J397" s="24" t="s">
        <v>289</v>
      </c>
      <c r="K397" s="24" t="s">
        <v>289</v>
      </c>
      <c r="L397" s="56">
        <f t="shared" si="26"/>
        <v>29349.25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f>3.33+33.99+29.24</f>
        <v>66.56</v>
      </c>
      <c r="I399" s="18"/>
      <c r="J399" s="24" t="s">
        <v>289</v>
      </c>
      <c r="K399" s="24" t="s">
        <v>289</v>
      </c>
      <c r="L399" s="56">
        <f t="shared" si="26"/>
        <v>66.56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5189.2500000000009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55189.25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5189.2500000000009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55189.25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33118</v>
      </c>
      <c r="L418" s="56">
        <f t="shared" si="27"/>
        <v>33118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33118</v>
      </c>
      <c r="L419" s="47">
        <f t="shared" si="28"/>
        <v>33118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33118</v>
      </c>
      <c r="L434" s="47">
        <f t="shared" si="32"/>
        <v>33118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f>1661.41+106936.06+18284.88</f>
        <v>126882.35</v>
      </c>
      <c r="H440" s="18"/>
      <c r="I440" s="56">
        <f t="shared" si="33"/>
        <v>126882.35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126882.35</v>
      </c>
      <c r="H446" s="13">
        <f>SUM(H439:H445)</f>
        <v>0</v>
      </c>
      <c r="I446" s="13">
        <f>SUM(I439:I445)</f>
        <v>126882.35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1661.41+106936.06+18284.88</f>
        <v>126882.35</v>
      </c>
      <c r="H459" s="18"/>
      <c r="I459" s="56">
        <f t="shared" si="34"/>
        <v>126882.35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126882.35</v>
      </c>
      <c r="H460" s="83">
        <f>SUM(H454:H459)</f>
        <v>0</v>
      </c>
      <c r="I460" s="83">
        <f>SUM(I454:I459)</f>
        <v>126882.35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126882.35</v>
      </c>
      <c r="H461" s="42">
        <f>H452+H460</f>
        <v>0</v>
      </c>
      <c r="I461" s="42">
        <f>I452+I460</f>
        <v>126882.35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f>203814.1+484.43</f>
        <v>204298.53</v>
      </c>
      <c r="G465" s="18">
        <v>2366.62</v>
      </c>
      <c r="H465" s="18">
        <v>0</v>
      </c>
      <c r="I465" s="18"/>
      <c r="J465" s="18">
        <v>104811.1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5684904.0099999998</v>
      </c>
      <c r="G468" s="18">
        <v>159104.94</v>
      </c>
      <c r="H468" s="18">
        <v>76438.100000000006</v>
      </c>
      <c r="I468" s="18"/>
      <c r="J468" s="18">
        <v>55189.25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5684904.0099999998</v>
      </c>
      <c r="G470" s="53">
        <f>SUM(G468:G469)</f>
        <v>159104.94</v>
      </c>
      <c r="H470" s="53">
        <f>SUM(H468:H469)</f>
        <v>76438.100000000006</v>
      </c>
      <c r="I470" s="53">
        <f>SUM(I468:I469)</f>
        <v>0</v>
      </c>
      <c r="J470" s="53">
        <f>SUM(J468:J469)</f>
        <v>55189.25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5588888.5700000003</v>
      </c>
      <c r="G472" s="18">
        <v>158197.31</v>
      </c>
      <c r="H472" s="18">
        <v>76438.100000000006</v>
      </c>
      <c r="I472" s="18"/>
      <c r="J472" s="18">
        <v>33118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 t="s">
        <v>302</v>
      </c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5588888.5700000003</v>
      </c>
      <c r="G474" s="53">
        <f>SUM(G472:G473)</f>
        <v>158197.31</v>
      </c>
      <c r="H474" s="53">
        <f>SUM(H472:H473)</f>
        <v>76438.100000000006</v>
      </c>
      <c r="I474" s="53">
        <f>SUM(I472:I473)</f>
        <v>0</v>
      </c>
      <c r="J474" s="53">
        <f>SUM(J472:J473)</f>
        <v>33118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300313.96999999974</v>
      </c>
      <c r="G476" s="53">
        <f>(G465+G470)- G474</f>
        <v>3274.25</v>
      </c>
      <c r="H476" s="53">
        <f>(H465+H470)- H474</f>
        <v>0</v>
      </c>
      <c r="I476" s="53">
        <f>(I465+I470)- I474</f>
        <v>0</v>
      </c>
      <c r="J476" s="53">
        <f>(J465+J470)- J474</f>
        <v>126882.35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916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1468000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730000</v>
      </c>
      <c r="G495" s="18"/>
      <c r="H495" s="18"/>
      <c r="I495" s="18"/>
      <c r="J495" s="18"/>
      <c r="K495" s="53">
        <f>SUM(F495:J495)</f>
        <v>730000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91521.5</v>
      </c>
      <c r="G497" s="18"/>
      <c r="H497" s="18"/>
      <c r="I497" s="18"/>
      <c r="J497" s="18"/>
      <c r="K497" s="53">
        <f t="shared" si="35"/>
        <v>91521.5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670000</v>
      </c>
      <c r="G498" s="204"/>
      <c r="H498" s="204"/>
      <c r="I498" s="204"/>
      <c r="J498" s="204"/>
      <c r="K498" s="205">
        <f t="shared" si="35"/>
        <v>670000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143800.75</v>
      </c>
      <c r="G499" s="18"/>
      <c r="H499" s="18"/>
      <c r="I499" s="18"/>
      <c r="J499" s="18"/>
      <c r="K499" s="53">
        <f t="shared" si="35"/>
        <v>143800.75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813800.75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813800.75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60000</v>
      </c>
      <c r="G501" s="204"/>
      <c r="H501" s="204"/>
      <c r="I501" s="204"/>
      <c r="J501" s="204"/>
      <c r="K501" s="205">
        <f t="shared" si="35"/>
        <v>60000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16568.75-1116+15068.75-2000</f>
        <v>28521.5</v>
      </c>
      <c r="G502" s="18"/>
      <c r="H502" s="18"/>
      <c r="I502" s="18"/>
      <c r="J502" s="18"/>
      <c r="K502" s="53">
        <f t="shared" si="35"/>
        <v>28521.5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88521.5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88521.5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310224.86+181584.34+2808.75+28748.72</f>
        <v>523366.66999999993</v>
      </c>
      <c r="G521" s="18">
        <f>117650.64+54147.78+3305</f>
        <v>175103.41999999998</v>
      </c>
      <c r="H521" s="18">
        <f>220279.01-17254.8+20294.66</f>
        <v>223318.87000000002</v>
      </c>
      <c r="I521" s="18">
        <f>2185.84+2792.99</f>
        <v>4978.83</v>
      </c>
      <c r="J521" s="18">
        <f>266.67+2392.05</f>
        <v>2658.7200000000003</v>
      </c>
      <c r="K521" s="18"/>
      <c r="L521" s="88">
        <f>SUM(F521:K521)</f>
        <v>929426.50999999978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523366.66999999993</v>
      </c>
      <c r="G524" s="108">
        <f t="shared" ref="G524:L524" si="36">SUM(G521:G523)</f>
        <v>175103.41999999998</v>
      </c>
      <c r="H524" s="108">
        <f t="shared" si="36"/>
        <v>223318.87000000002</v>
      </c>
      <c r="I524" s="108">
        <f t="shared" si="36"/>
        <v>4978.83</v>
      </c>
      <c r="J524" s="108">
        <f t="shared" si="36"/>
        <v>2658.7200000000003</v>
      </c>
      <c r="K524" s="108">
        <f t="shared" si="36"/>
        <v>0</v>
      </c>
      <c r="L524" s="89">
        <f t="shared" si="36"/>
        <v>929426.50999999978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78010</v>
      </c>
      <c r="G526" s="18">
        <v>28629.73</v>
      </c>
      <c r="H526" s="18"/>
      <c r="I526" s="18"/>
      <c r="J526" s="18"/>
      <c r="K526" s="18"/>
      <c r="L526" s="88">
        <f>SUM(F526:K526)</f>
        <v>106639.73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78010</v>
      </c>
      <c r="G529" s="89">
        <f t="shared" ref="G529:L529" si="37">SUM(G526:G528)</f>
        <v>28629.73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106639.73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81999.96+22831.59</f>
        <v>104831.55</v>
      </c>
      <c r="G531" s="18">
        <f>38907.28+6267.27</f>
        <v>45174.55</v>
      </c>
      <c r="H531" s="18"/>
      <c r="I531" s="18"/>
      <c r="J531" s="18"/>
      <c r="K531" s="18">
        <f>872+250+2.28</f>
        <v>1124.28</v>
      </c>
      <c r="L531" s="88">
        <f>SUM(F531:K531)</f>
        <v>151130.38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104831.55</v>
      </c>
      <c r="G534" s="89">
        <f t="shared" ref="G534:L534" si="38">SUM(G531:G533)</f>
        <v>45174.55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1124.28</v>
      </c>
      <c r="L534" s="89">
        <f t="shared" si="38"/>
        <v>151130.38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17254.8</v>
      </c>
      <c r="I536" s="18"/>
      <c r="J536" s="18"/>
      <c r="K536" s="18"/>
      <c r="L536" s="88">
        <f>SUM(F536:K536)</f>
        <v>17254.8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17254.8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17254.8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420</v>
      </c>
      <c r="I541" s="18"/>
      <c r="J541" s="18"/>
      <c r="K541" s="18"/>
      <c r="L541" s="88">
        <f>SUM(F541:K541)</f>
        <v>420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420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420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706208.22</v>
      </c>
      <c r="G545" s="89">
        <f t="shared" ref="G545:L545" si="41">G524+G529+G534+G539+G544</f>
        <v>248907.7</v>
      </c>
      <c r="H545" s="89">
        <f t="shared" si="41"/>
        <v>240993.67</v>
      </c>
      <c r="I545" s="89">
        <f t="shared" si="41"/>
        <v>4978.83</v>
      </c>
      <c r="J545" s="89">
        <f t="shared" si="41"/>
        <v>2658.7200000000003</v>
      </c>
      <c r="K545" s="89">
        <f t="shared" si="41"/>
        <v>1124.28</v>
      </c>
      <c r="L545" s="89">
        <f t="shared" si="41"/>
        <v>1204871.4199999997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929426.50999999978</v>
      </c>
      <c r="G549" s="87">
        <f>L526</f>
        <v>106639.73</v>
      </c>
      <c r="H549" s="87">
        <f>L531</f>
        <v>151130.38</v>
      </c>
      <c r="I549" s="87">
        <f>L536</f>
        <v>17254.8</v>
      </c>
      <c r="J549" s="87">
        <f>L541</f>
        <v>420</v>
      </c>
      <c r="K549" s="87">
        <f>SUM(F549:J549)</f>
        <v>1204871.4199999997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929426.50999999978</v>
      </c>
      <c r="G552" s="89">
        <f t="shared" si="42"/>
        <v>106639.73</v>
      </c>
      <c r="H552" s="89">
        <f t="shared" si="42"/>
        <v>151130.38</v>
      </c>
      <c r="I552" s="89">
        <f t="shared" si="42"/>
        <v>17254.8</v>
      </c>
      <c r="J552" s="89">
        <f t="shared" si="42"/>
        <v>420</v>
      </c>
      <c r="K552" s="89">
        <f t="shared" si="42"/>
        <v>1204871.4199999997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15458.6</v>
      </c>
      <c r="G582" s="18"/>
      <c r="H582" s="18"/>
      <c r="I582" s="87">
        <f t="shared" si="47"/>
        <v>15458.6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198304.17</v>
      </c>
      <c r="I591" s="18"/>
      <c r="J591" s="18"/>
      <c r="K591" s="104">
        <f t="shared" ref="K591:K597" si="48">SUM(H591:J591)</f>
        <v>198304.17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420</v>
      </c>
      <c r="I592" s="18"/>
      <c r="J592" s="18"/>
      <c r="K592" s="104">
        <f t="shared" si="48"/>
        <v>420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5246.8</v>
      </c>
      <c r="I594" s="18"/>
      <c r="J594" s="18"/>
      <c r="K594" s="104">
        <f t="shared" si="48"/>
        <v>5246.8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4465.16</v>
      </c>
      <c r="I595" s="18"/>
      <c r="J595" s="18"/>
      <c r="K595" s="104">
        <f t="shared" si="48"/>
        <v>4465.16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22560</v>
      </c>
      <c r="I597" s="18"/>
      <c r="J597" s="18"/>
      <c r="K597" s="104">
        <f t="shared" si="48"/>
        <v>22560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230996.13</v>
      </c>
      <c r="I598" s="108">
        <f>SUM(I591:I597)</f>
        <v>0</v>
      </c>
      <c r="J598" s="108">
        <f>SUM(J591:J597)</f>
        <v>0</v>
      </c>
      <c r="K598" s="108">
        <f>SUM(K591:K597)</f>
        <v>230996.13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170055.25</v>
      </c>
      <c r="I603" s="18"/>
      <c r="J603" s="18"/>
      <c r="K603" s="104">
        <f>SUM(H603:J603)</f>
        <v>170055.25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2392.05+41130.67</f>
        <v>43522.720000000001</v>
      </c>
      <c r="I604" s="18"/>
      <c r="J604" s="18"/>
      <c r="K604" s="104">
        <f>SUM(H604:J604)</f>
        <v>43522.720000000001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213577.97</v>
      </c>
      <c r="I605" s="108">
        <f>SUM(I602:I604)</f>
        <v>0</v>
      </c>
      <c r="J605" s="108">
        <f>SUM(J602:J604)</f>
        <v>0</v>
      </c>
      <c r="K605" s="108">
        <f>SUM(K602:K604)</f>
        <v>213577.97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391439.86999999994</v>
      </c>
      <c r="H617" s="109">
        <f>SUM(F52)</f>
        <v>391439.87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6849.87</v>
      </c>
      <c r="H618" s="109">
        <f>SUM(G52)</f>
        <v>6849.87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13267.33</v>
      </c>
      <c r="H619" s="109">
        <f>SUM(H52)</f>
        <v>13267.33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126882.35</v>
      </c>
      <c r="H621" s="109">
        <f>SUM(J52)</f>
        <v>126882.35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300313.97000000003</v>
      </c>
      <c r="H622" s="109">
        <f>F476</f>
        <v>300313.96999999974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3274.25</v>
      </c>
      <c r="H623" s="109">
        <f>G476</f>
        <v>3274.25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126882.35</v>
      </c>
      <c r="H626" s="109">
        <f>J476</f>
        <v>126882.35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5684904.0100000007</v>
      </c>
      <c r="H627" s="104">
        <f>SUM(F468)</f>
        <v>5684904.0099999998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159104.94</v>
      </c>
      <c r="H628" s="104">
        <f>SUM(G468)</f>
        <v>159104.94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76438.100000000006</v>
      </c>
      <c r="H629" s="104">
        <f>SUM(H468)</f>
        <v>76438.100000000006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55189.25</v>
      </c>
      <c r="H631" s="104">
        <f>SUM(J468)</f>
        <v>55189.25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5588888.5700000003</v>
      </c>
      <c r="H632" s="104">
        <f>SUM(F472)</f>
        <v>5588888.5700000003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76438.100000000006</v>
      </c>
      <c r="H633" s="104">
        <f>SUM(H472)</f>
        <v>76438.100000000006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55992.249999999993</v>
      </c>
      <c r="H634" s="104">
        <f>I369</f>
        <v>55992.249999999993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158197.31</v>
      </c>
      <c r="H635" s="104">
        <f>SUM(G472)</f>
        <v>158197.31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55189.25</v>
      </c>
      <c r="H637" s="164">
        <f>SUM(J468)</f>
        <v>55189.25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33118</v>
      </c>
      <c r="H638" s="164">
        <f>SUM(J472)</f>
        <v>33118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126882.35</v>
      </c>
      <c r="H640" s="104">
        <f>SUM(G461)</f>
        <v>126882.35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126882.35</v>
      </c>
      <c r="H642" s="104">
        <f>SUM(I461)</f>
        <v>126882.35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5189.25</v>
      </c>
      <c r="H644" s="104">
        <f>H408</f>
        <v>5189.2500000000009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55189.25</v>
      </c>
      <c r="H646" s="104">
        <f>L408</f>
        <v>55189.25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230996.13</v>
      </c>
      <c r="H647" s="104">
        <f>L208+L226+L244</f>
        <v>230996.13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213577.97</v>
      </c>
      <c r="H648" s="104">
        <f>(J257+J338)-(J255+J336)</f>
        <v>213577.97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230996.13</v>
      </c>
      <c r="H649" s="104">
        <f>H598</f>
        <v>230996.13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40050</v>
      </c>
      <c r="H652" s="104">
        <f>K263+K345</f>
        <v>40050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5561262.4799999995</v>
      </c>
      <c r="G660" s="19">
        <f>(L229+L309+L359)</f>
        <v>0</v>
      </c>
      <c r="H660" s="19">
        <f>(L247+L328+L360)</f>
        <v>0</v>
      </c>
      <c r="I660" s="19">
        <f>SUM(F660:H660)</f>
        <v>5561262.4799999995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90441.24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90441.24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230996.13</v>
      </c>
      <c r="G662" s="19">
        <f>(L226+L306)-(J226+J306)</f>
        <v>0</v>
      </c>
      <c r="H662" s="19">
        <f>(L244+L325)-(J244+J325)</f>
        <v>0</v>
      </c>
      <c r="I662" s="19">
        <f>SUM(F662:H662)</f>
        <v>230996.13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229036.57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229036.57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5010788.5399999991</v>
      </c>
      <c r="G664" s="19">
        <f>G660-SUM(G661:G663)</f>
        <v>0</v>
      </c>
      <c r="H664" s="19">
        <f>H660-SUM(H661:H663)</f>
        <v>0</v>
      </c>
      <c r="I664" s="19">
        <f>I660-SUM(I661:I663)</f>
        <v>5010788.5399999991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243.74</v>
      </c>
      <c r="G665" s="248"/>
      <c r="H665" s="248"/>
      <c r="I665" s="19">
        <f>SUM(F665:H665)</f>
        <v>243.74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20557.919999999998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20557.919999999998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20557.919999999998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20557.919999999998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view="pageLayout" zoomScaleNormal="100" workbookViewId="0">
      <selection activeCell="D9" sqref="D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HAMPTON FALLS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1628961.83</v>
      </c>
      <c r="C9" s="229">
        <f>'DOE25'!G197+'DOE25'!G215+'DOE25'!G233+'DOE25'!G276+'DOE25'!G295+'DOE25'!G314</f>
        <v>735827.58</v>
      </c>
    </row>
    <row r="10" spans="1:3" x14ac:dyDescent="0.2">
      <c r="A10" t="s">
        <v>779</v>
      </c>
      <c r="B10" s="240">
        <f>1565749.35+83.08-356.25+9588.16</f>
        <v>1575064.34</v>
      </c>
      <c r="C10" s="240">
        <f>726942.79+765.33</f>
        <v>727708.12</v>
      </c>
    </row>
    <row r="11" spans="1:3" x14ac:dyDescent="0.2">
      <c r="A11" t="s">
        <v>780</v>
      </c>
      <c r="B11" s="240">
        <f>19652.88</f>
        <v>19652.88</v>
      </c>
      <c r="C11" s="240">
        <v>5424.81</v>
      </c>
    </row>
    <row r="12" spans="1:3" x14ac:dyDescent="0.2">
      <c r="A12" t="s">
        <v>781</v>
      </c>
      <c r="B12" s="240">
        <f>16115.45+18129.16</f>
        <v>34244.61</v>
      </c>
      <c r="C12" s="240">
        <f>1307.77+1386.88</f>
        <v>2694.65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1628961.83</v>
      </c>
      <c r="C13" s="231">
        <f>SUM(C10:C12)</f>
        <v>735827.58000000007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706207.92</v>
      </c>
      <c r="C18" s="229">
        <f>'DOE25'!G198+'DOE25'!G216+'DOE25'!G234+'DOE25'!G277+'DOE25'!G296+'DOE25'!G315</f>
        <v>248907.71</v>
      </c>
    </row>
    <row r="19" spans="1:3" x14ac:dyDescent="0.2">
      <c r="A19" t="s">
        <v>779</v>
      </c>
      <c r="B19" s="240">
        <f>310224.86+2808.75+78010</f>
        <v>391043.61</v>
      </c>
      <c r="C19" s="240">
        <f>117650.64+28629.73</f>
        <v>146280.37</v>
      </c>
    </row>
    <row r="20" spans="1:3" x14ac:dyDescent="0.2">
      <c r="A20" t="s">
        <v>780</v>
      </c>
      <c r="B20" s="240">
        <f>181584.34+28748.42</f>
        <v>210332.76</v>
      </c>
      <c r="C20" s="240">
        <f>54147.78+3305.01</f>
        <v>57452.79</v>
      </c>
    </row>
    <row r="21" spans="1:3" x14ac:dyDescent="0.2">
      <c r="A21" t="s">
        <v>781</v>
      </c>
      <c r="B21" s="240">
        <f>81999.96+22831.59</f>
        <v>104831.55</v>
      </c>
      <c r="C21" s="240">
        <f>38907.28+6267.27</f>
        <v>45174.55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706207.92</v>
      </c>
      <c r="C22" s="231">
        <f>SUM(C19:C21)</f>
        <v>248907.71000000002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36158.9</v>
      </c>
      <c r="C36" s="235">
        <f>'DOE25'!G200+'DOE25'!G218+'DOE25'!G236+'DOE25'!G279+'DOE25'!G298+'DOE25'!G317</f>
        <v>2928.87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36158.9</v>
      </c>
      <c r="C39" s="240">
        <v>2928.87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36158.9</v>
      </c>
      <c r="C40" s="231">
        <f>SUM(C37:C39)</f>
        <v>2928.87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HAMPTON FALLS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3611674.5800000005</v>
      </c>
      <c r="D5" s="20">
        <f>SUM('DOE25'!L197:L200)+SUM('DOE25'!L215:L218)+SUM('DOE25'!L233:L236)-F5-G5</f>
        <v>3603149.9800000004</v>
      </c>
      <c r="E5" s="243"/>
      <c r="F5" s="255">
        <f>SUM('DOE25'!J197:J200)+SUM('DOE25'!J215:J218)+SUM('DOE25'!J233:J236)</f>
        <v>7652.6</v>
      </c>
      <c r="G5" s="53">
        <f>SUM('DOE25'!K197:K200)+SUM('DOE25'!K215:K218)+SUM('DOE25'!K233:K236)</f>
        <v>872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158739.03999999998</v>
      </c>
      <c r="D6" s="20">
        <f>'DOE25'!L202+'DOE25'!L220+'DOE25'!L238-F6-G6</f>
        <v>158502.13999999998</v>
      </c>
      <c r="E6" s="243"/>
      <c r="F6" s="255">
        <f>'DOE25'!J202+'DOE25'!J220+'DOE25'!J238</f>
        <v>62.9</v>
      </c>
      <c r="G6" s="53">
        <f>'DOE25'!K202+'DOE25'!K220+'DOE25'!K238</f>
        <v>174</v>
      </c>
      <c r="H6" s="259"/>
    </row>
    <row r="7" spans="1:9" x14ac:dyDescent="0.2">
      <c r="A7" s="32">
        <v>2200</v>
      </c>
      <c r="B7" t="s">
        <v>834</v>
      </c>
      <c r="C7" s="245">
        <f t="shared" si="0"/>
        <v>253082.87000000002</v>
      </c>
      <c r="D7" s="20">
        <f>'DOE25'!L203+'DOE25'!L221+'DOE25'!L239-F7-G7</f>
        <v>235526.89</v>
      </c>
      <c r="E7" s="243"/>
      <c r="F7" s="255">
        <f>'DOE25'!J203+'DOE25'!J221+'DOE25'!J239</f>
        <v>17555.98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71745.72</v>
      </c>
      <c r="D8" s="243"/>
      <c r="E8" s="20">
        <f>'DOE25'!L204+'DOE25'!L222+'DOE25'!L240-F8-G8-D9-D11</f>
        <v>68478.66</v>
      </c>
      <c r="F8" s="255">
        <f>'DOE25'!J204+'DOE25'!J222+'DOE25'!J240</f>
        <v>0</v>
      </c>
      <c r="G8" s="53">
        <f>'DOE25'!K204+'DOE25'!K222+'DOE25'!K240</f>
        <v>3267.06</v>
      </c>
      <c r="H8" s="259"/>
    </row>
    <row r="9" spans="1:9" x14ac:dyDescent="0.2">
      <c r="A9" s="32">
        <v>2310</v>
      </c>
      <c r="B9" t="s">
        <v>818</v>
      </c>
      <c r="C9" s="245">
        <f t="shared" si="0"/>
        <v>43043.22</v>
      </c>
      <c r="D9" s="244">
        <v>43043.22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7900</v>
      </c>
      <c r="D10" s="243"/>
      <c r="E10" s="244">
        <v>7900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37105.19</v>
      </c>
      <c r="D11" s="244">
        <v>37105.19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203585.83</v>
      </c>
      <c r="D12" s="20">
        <f>'DOE25'!L205+'DOE25'!L223+'DOE25'!L241-F12-G12</f>
        <v>203278.72999999998</v>
      </c>
      <c r="E12" s="243"/>
      <c r="F12" s="255">
        <f>'DOE25'!J205+'DOE25'!J223+'DOE25'!J241</f>
        <v>0</v>
      </c>
      <c r="G12" s="53">
        <f>'DOE25'!K205+'DOE25'!K223+'DOE25'!K241</f>
        <v>307.10000000000002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716269.74</v>
      </c>
      <c r="D14" s="20">
        <f>'DOE25'!L207+'DOE25'!L225+'DOE25'!L243-F14-G14</f>
        <v>530305.30000000005</v>
      </c>
      <c r="E14" s="243"/>
      <c r="F14" s="255">
        <f>'DOE25'!J207+'DOE25'!J225+'DOE25'!J243</f>
        <v>185914.44</v>
      </c>
      <c r="G14" s="53">
        <f>'DOE25'!K207+'DOE25'!K225+'DOE25'!K243</f>
        <v>50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230996.13</v>
      </c>
      <c r="D15" s="20">
        <f>'DOE25'!L208+'DOE25'!L226+'DOE25'!L244-F15-G15</f>
        <v>230996.13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384.75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384.75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80690</v>
      </c>
      <c r="D22" s="243"/>
      <c r="E22" s="243"/>
      <c r="F22" s="255">
        <f>'DOE25'!L255+'DOE25'!L336</f>
        <v>80690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91521.5</v>
      </c>
      <c r="D25" s="243"/>
      <c r="E25" s="243"/>
      <c r="F25" s="258"/>
      <c r="G25" s="256"/>
      <c r="H25" s="257">
        <f>'DOE25'!L260+'DOE25'!L261+'DOE25'!L341+'DOE25'!L342</f>
        <v>91521.5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104877.01000000001</v>
      </c>
      <c r="D29" s="20">
        <f>'DOE25'!L358+'DOE25'!L359+'DOE25'!L360-'DOE25'!I367-F29-G29</f>
        <v>77690.12000000001</v>
      </c>
      <c r="E29" s="243"/>
      <c r="F29" s="255">
        <f>'DOE25'!J358+'DOE25'!J359+'DOE25'!J360</f>
        <v>24342.69</v>
      </c>
      <c r="G29" s="53">
        <f>'DOE25'!K358+'DOE25'!K359+'DOE25'!K360</f>
        <v>2844.2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76438.100000000006</v>
      </c>
      <c r="D31" s="20">
        <f>'DOE25'!L290+'DOE25'!L309+'DOE25'!L328+'DOE25'!L333+'DOE25'!L334+'DOE25'!L335-F31-G31</f>
        <v>73095.59</v>
      </c>
      <c r="E31" s="243"/>
      <c r="F31" s="255">
        <f>'DOE25'!J290+'DOE25'!J309+'DOE25'!J328+'DOE25'!J333+'DOE25'!J334+'DOE25'!J335</f>
        <v>2392.0500000000002</v>
      </c>
      <c r="G31" s="53">
        <f>'DOE25'!K290+'DOE25'!K309+'DOE25'!K328+'DOE25'!K333+'DOE25'!K334+'DOE25'!K335</f>
        <v>950.45999999999992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5192693.29</v>
      </c>
      <c r="E33" s="246">
        <f>SUM(E5:E31)</f>
        <v>76378.66</v>
      </c>
      <c r="F33" s="246">
        <f>SUM(F5:F31)</f>
        <v>318610.66000000003</v>
      </c>
      <c r="G33" s="246">
        <f>SUM(G5:G31)</f>
        <v>8849.57</v>
      </c>
      <c r="H33" s="246">
        <f>SUM(H5:H31)</f>
        <v>91521.5</v>
      </c>
    </row>
    <row r="35" spans="2:8" ht="12" thickBot="1" x14ac:dyDescent="0.25">
      <c r="B35" s="253" t="s">
        <v>847</v>
      </c>
      <c r="D35" s="254">
        <f>E33</f>
        <v>76378.66</v>
      </c>
      <c r="E35" s="249"/>
    </row>
    <row r="36" spans="2:8" ht="12" thickTop="1" x14ac:dyDescent="0.2">
      <c r="B36" t="s">
        <v>815</v>
      </c>
      <c r="D36" s="20">
        <f>D33</f>
        <v>5192693.29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HAMPTON FALLS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379242.27999999997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126882.35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10609.31</v>
      </c>
      <c r="D11" s="95">
        <f>'DOE25'!G12</f>
        <v>2086.84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151.80000000000001</v>
      </c>
      <c r="D12" s="95">
        <f>'DOE25'!G13</f>
        <v>1494.56</v>
      </c>
      <c r="E12" s="95">
        <f>'DOE25'!H13</f>
        <v>13267.33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1436.48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3268.47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391439.86999999994</v>
      </c>
      <c r="D18" s="41">
        <f>SUM(D8:D17)</f>
        <v>6849.87</v>
      </c>
      <c r="E18" s="41">
        <f>SUM(E8:E17)</f>
        <v>13267.33</v>
      </c>
      <c r="F18" s="41">
        <f>SUM(F8:F17)</f>
        <v>0</v>
      </c>
      <c r="G18" s="41">
        <f>SUM(G8:G17)</f>
        <v>126882.35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12696.15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78306.22</v>
      </c>
      <c r="D23" s="95">
        <f>'DOE25'!G24</f>
        <v>64.02</v>
      </c>
      <c r="E23" s="95">
        <f>'DOE25'!H24</f>
        <v>571.17999999999995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4068.4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8751.2800000000007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3511.6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91125.9</v>
      </c>
      <c r="D31" s="41">
        <f>SUM(D21:D30)</f>
        <v>3575.62</v>
      </c>
      <c r="E31" s="41">
        <f>SUM(E21:E30)</f>
        <v>13267.33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3268.47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5.78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126882.35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8103.68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242210.29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300313.97000000003</v>
      </c>
      <c r="D50" s="41">
        <f>SUM(D34:D49)</f>
        <v>3274.25</v>
      </c>
      <c r="E50" s="41">
        <f>SUM(E34:E49)</f>
        <v>0</v>
      </c>
      <c r="F50" s="41">
        <f>SUM(F34:F49)</f>
        <v>0</v>
      </c>
      <c r="G50" s="41">
        <f>SUM(G34:G49)</f>
        <v>126882.35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391439.87</v>
      </c>
      <c r="D51" s="41">
        <f>D50+D31</f>
        <v>6849.87</v>
      </c>
      <c r="E51" s="41">
        <f>E50+E31</f>
        <v>13267.33</v>
      </c>
      <c r="F51" s="41">
        <f>F50+F31</f>
        <v>0</v>
      </c>
      <c r="G51" s="41">
        <f>G50+G31</f>
        <v>126882.35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4719695.99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67.37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5189.25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90441.24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62326.35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62393.72</v>
      </c>
      <c r="D62" s="130">
        <f>SUM(D57:D61)</f>
        <v>90441.24</v>
      </c>
      <c r="E62" s="130">
        <f>SUM(E57:E61)</f>
        <v>0</v>
      </c>
      <c r="F62" s="130">
        <f>SUM(F57:F61)</f>
        <v>0</v>
      </c>
      <c r="G62" s="130">
        <f>SUM(G57:G61)</f>
        <v>5189.25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4782089.71</v>
      </c>
      <c r="D63" s="22">
        <f>D56+D62</f>
        <v>90441.24</v>
      </c>
      <c r="E63" s="22">
        <f>E56+E62</f>
        <v>0</v>
      </c>
      <c r="F63" s="22">
        <f>F56+F62</f>
        <v>0</v>
      </c>
      <c r="G63" s="22">
        <f>G56+G62</f>
        <v>5189.25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130490.3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714750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845240.3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959.81</v>
      </c>
      <c r="D77" s="95">
        <f>SUM('DOE25'!G131:G135)</f>
        <v>1503.36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959.81</v>
      </c>
      <c r="D78" s="130">
        <f>SUM(D72:D77)</f>
        <v>1503.36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846200.1100000001</v>
      </c>
      <c r="D81" s="130">
        <f>SUM(D79:D80)+D78+D70</f>
        <v>1503.36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23496.19</v>
      </c>
      <c r="D88" s="95">
        <f>SUM('DOE25'!G153:G161)</f>
        <v>20364.03</v>
      </c>
      <c r="E88" s="95">
        <f>SUM('DOE25'!H153:H161)</f>
        <v>76438.100000000006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6746.31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23496.19</v>
      </c>
      <c r="D91" s="131">
        <f>SUM(D85:D90)</f>
        <v>27110.34</v>
      </c>
      <c r="E91" s="131">
        <f>SUM(E85:E90)</f>
        <v>76438.100000000006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40050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33118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33118</v>
      </c>
      <c r="D103" s="86">
        <f>SUM(D93:D102)</f>
        <v>40050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5684904.0100000007</v>
      </c>
      <c r="D104" s="86">
        <f>D63+D81+D91+D103</f>
        <v>159104.94</v>
      </c>
      <c r="E104" s="86">
        <f>E63+E81+E91+E103</f>
        <v>76438.100000000006</v>
      </c>
      <c r="F104" s="86">
        <f>F63+F81+F91+F103</f>
        <v>0</v>
      </c>
      <c r="G104" s="86">
        <f>G63+G81+G103</f>
        <v>55189.25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2414286.5800000005</v>
      </c>
      <c r="D109" s="24" t="s">
        <v>289</v>
      </c>
      <c r="E109" s="95">
        <f>('DOE25'!L276)+('DOE25'!L295)+('DOE25'!L314)</f>
        <v>13471.66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1143856.98</v>
      </c>
      <c r="D110" s="24" t="s">
        <v>289</v>
      </c>
      <c r="E110" s="95">
        <f>('DOE25'!L277)+('DOE25'!L296)+('DOE25'!L315)</f>
        <v>60341.87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53531.020000000011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3611674.5800000005</v>
      </c>
      <c r="D115" s="86">
        <f>SUM(D109:D114)</f>
        <v>0</v>
      </c>
      <c r="E115" s="86">
        <f>SUM(E109:E114)</f>
        <v>73813.53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158739.03999999998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253082.87000000002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151894.13</v>
      </c>
      <c r="D120" s="24" t="s">
        <v>289</v>
      </c>
      <c r="E120" s="95">
        <f>+('DOE25'!L283)+('DOE25'!L302)+('DOE25'!L321)</f>
        <v>2624.57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203585.83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716269.74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230996.13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384.75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158197.31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1714952.4899999998</v>
      </c>
      <c r="D128" s="86">
        <f>SUM(D118:D127)</f>
        <v>158197.31</v>
      </c>
      <c r="E128" s="86">
        <f>SUM(E118:E127)</f>
        <v>2624.57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80690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31521.5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33118</v>
      </c>
    </row>
    <row r="135" spans="1:7" x14ac:dyDescent="0.2">
      <c r="A135" t="s">
        <v>233</v>
      </c>
      <c r="B135" s="32" t="s">
        <v>234</v>
      </c>
      <c r="C135" s="95">
        <f>'DOE25'!L263</f>
        <v>40050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55189.25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-5189.25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262261.5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33118</v>
      </c>
    </row>
    <row r="145" spans="1:9" ht="12.75" thickTop="1" thickBot="1" x14ac:dyDescent="0.25">
      <c r="A145" s="33" t="s">
        <v>244</v>
      </c>
      <c r="C145" s="86">
        <f>(C115+C128+C144)</f>
        <v>5588888.5700000003</v>
      </c>
      <c r="D145" s="86">
        <f>(D115+D128+D144)</f>
        <v>158197.31</v>
      </c>
      <c r="E145" s="86">
        <f>(E115+E128+E144)</f>
        <v>76438.100000000006</v>
      </c>
      <c r="F145" s="86">
        <f>(F115+F128+F144)</f>
        <v>0</v>
      </c>
      <c r="G145" s="86">
        <f>(G115+G128+G144)</f>
        <v>33118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August 2004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August 2024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1468000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730000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730000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91521.5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91521.5</v>
      </c>
    </row>
    <row r="159" spans="1:9" x14ac:dyDescent="0.2">
      <c r="A159" s="22" t="s">
        <v>35</v>
      </c>
      <c r="B159" s="137">
        <f>'DOE25'!F498</f>
        <v>670000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670000</v>
      </c>
    </row>
    <row r="160" spans="1:9" x14ac:dyDescent="0.2">
      <c r="A160" s="22" t="s">
        <v>36</v>
      </c>
      <c r="B160" s="137">
        <f>'DOE25'!F499</f>
        <v>143800.75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143800.75</v>
      </c>
    </row>
    <row r="161" spans="1:7" x14ac:dyDescent="0.2">
      <c r="A161" s="22" t="s">
        <v>37</v>
      </c>
      <c r="B161" s="137">
        <f>'DOE25'!F500</f>
        <v>813800.75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813800.75</v>
      </c>
    </row>
    <row r="162" spans="1:7" x14ac:dyDescent="0.2">
      <c r="A162" s="22" t="s">
        <v>38</v>
      </c>
      <c r="B162" s="137">
        <f>'DOE25'!F501</f>
        <v>60000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60000</v>
      </c>
    </row>
    <row r="163" spans="1:7" x14ac:dyDescent="0.2">
      <c r="A163" s="22" t="s">
        <v>39</v>
      </c>
      <c r="B163" s="137">
        <f>'DOE25'!F502</f>
        <v>28521.5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28521.5</v>
      </c>
    </row>
    <row r="164" spans="1:7" x14ac:dyDescent="0.2">
      <c r="A164" s="22" t="s">
        <v>246</v>
      </c>
      <c r="B164" s="137">
        <f>'DOE25'!F503</f>
        <v>88521.5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88521.5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HAMPTON FALLS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20558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20558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2427758</v>
      </c>
      <c r="D10" s="182">
        <f>ROUND((C10/$C$28)*100,1)</f>
        <v>44.1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1204199</v>
      </c>
      <c r="D11" s="182">
        <f>ROUND((C11/$C$28)*100,1)</f>
        <v>21.9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53531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158739</v>
      </c>
      <c r="D15" s="182">
        <f t="shared" ref="D15:D27" si="0">ROUND((C15/$C$28)*100,1)</f>
        <v>2.9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253083</v>
      </c>
      <c r="D16" s="182">
        <f t="shared" si="0"/>
        <v>4.5999999999999996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154903</v>
      </c>
      <c r="D17" s="182">
        <f t="shared" si="0"/>
        <v>2.8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203586</v>
      </c>
      <c r="D18" s="182">
        <f t="shared" si="0"/>
        <v>3.7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716270</v>
      </c>
      <c r="D20" s="182">
        <f t="shared" si="0"/>
        <v>13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230996</v>
      </c>
      <c r="D21" s="182">
        <f t="shared" si="0"/>
        <v>4.2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31522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67755.759999999995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5502342.7599999998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80690</v>
      </c>
    </row>
    <row r="30" spans="1:4" x14ac:dyDescent="0.2">
      <c r="B30" s="187" t="s">
        <v>729</v>
      </c>
      <c r="C30" s="180">
        <f>SUM(C28:C29)</f>
        <v>5583032.7599999998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60000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4719696</v>
      </c>
      <c r="D35" s="182">
        <f t="shared" ref="D35:D40" si="1">ROUND((C35/$C$41)*100,1)</f>
        <v>81.900000000000006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67582.959999999963</v>
      </c>
      <c r="D36" s="182">
        <f t="shared" si="1"/>
        <v>1.2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845240</v>
      </c>
      <c r="D37" s="182">
        <f t="shared" si="1"/>
        <v>14.7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2463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127045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5762026.96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tabSelected="1" workbookViewId="0">
      <pane ySplit="3" topLeftCell="A4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HAMPTON FALLS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3</v>
      </c>
      <c r="B4" s="219">
        <v>24</v>
      </c>
      <c r="C4" s="286" t="s">
        <v>915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2016-08-29T12:29:15Z</cp:lastPrinted>
  <dcterms:created xsi:type="dcterms:W3CDTF">1997-12-04T19:04:30Z</dcterms:created>
  <dcterms:modified xsi:type="dcterms:W3CDTF">2016-08-29T12:29:18Z</dcterms:modified>
</cp:coreProperties>
</file>