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1220" windowHeight="6330" tabRatio="855" activeTab="2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5" i="1" l="1"/>
  <c r="H521" i="1"/>
  <c r="F499" i="1"/>
  <c r="F498" i="1"/>
  <c r="C19" i="12"/>
  <c r="C20" i="12"/>
  <c r="B21" i="12"/>
  <c r="C10" i="12"/>
  <c r="B10" i="12"/>
  <c r="G97" i="1"/>
  <c r="J96" i="1"/>
  <c r="J472" i="1"/>
  <c r="J468" i="1"/>
  <c r="H379" i="1"/>
  <c r="F276" i="1"/>
  <c r="H159" i="1"/>
  <c r="H22" i="1"/>
  <c r="I358" i="1"/>
  <c r="H358" i="1"/>
  <c r="G358" i="1"/>
  <c r="F358" i="1"/>
  <c r="F57" i="1" l="1"/>
  <c r="F50" i="1"/>
  <c r="F31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7" i="10" s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E16" i="13" s="1"/>
  <c r="L245" i="1"/>
  <c r="F5" i="13"/>
  <c r="G5" i="13"/>
  <c r="L197" i="1"/>
  <c r="L198" i="1"/>
  <c r="L199" i="1"/>
  <c r="C12" i="10" s="1"/>
  <c r="L200" i="1"/>
  <c r="L215" i="1"/>
  <c r="L229" i="1" s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L221" i="1"/>
  <c r="L239" i="1"/>
  <c r="F12" i="13"/>
  <c r="G12" i="13"/>
  <c r="L205" i="1"/>
  <c r="C121" i="2" s="1"/>
  <c r="L223" i="1"/>
  <c r="L241" i="1"/>
  <c r="F14" i="13"/>
  <c r="D14" i="13" s="1"/>
  <c r="C14" i="13" s="1"/>
  <c r="G14" i="13"/>
  <c r="L207" i="1"/>
  <c r="L225" i="1"/>
  <c r="L243" i="1"/>
  <c r="F15" i="13"/>
  <c r="G15" i="13"/>
  <c r="L208" i="1"/>
  <c r="L226" i="1"/>
  <c r="L244" i="1"/>
  <c r="G651" i="1" s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D19" i="13" s="1"/>
  <c r="C19" i="13" s="1"/>
  <c r="L253" i="1"/>
  <c r="F29" i="13"/>
  <c r="G29" i="13"/>
  <c r="L358" i="1"/>
  <c r="F661" i="1" s="1"/>
  <c r="L359" i="1"/>
  <c r="L360" i="1"/>
  <c r="I367" i="1"/>
  <c r="I369" i="1" s="1"/>
  <c r="H634" i="1" s="1"/>
  <c r="J634" i="1" s="1"/>
  <c r="J290" i="1"/>
  <c r="J309" i="1"/>
  <c r="J328" i="1"/>
  <c r="K290" i="1"/>
  <c r="K309" i="1"/>
  <c r="K328" i="1"/>
  <c r="L276" i="1"/>
  <c r="E109" i="2" s="1"/>
  <c r="L277" i="1"/>
  <c r="L278" i="1"/>
  <c r="E111" i="2" s="1"/>
  <c r="L279" i="1"/>
  <c r="L281" i="1"/>
  <c r="E118" i="2" s="1"/>
  <c r="E128" i="2" s="1"/>
  <c r="L282" i="1"/>
  <c r="L283" i="1"/>
  <c r="E120" i="2" s="1"/>
  <c r="L284" i="1"/>
  <c r="L285" i="1"/>
  <c r="E122" i="2" s="1"/>
  <c r="L286" i="1"/>
  <c r="L287" i="1"/>
  <c r="E124" i="2" s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351" i="1" s="1"/>
  <c r="L255" i="1"/>
  <c r="C130" i="2" s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B9" i="12"/>
  <c r="B13" i="12"/>
  <c r="C9" i="12"/>
  <c r="C13" i="12"/>
  <c r="B18" i="12"/>
  <c r="B22" i="12"/>
  <c r="C18" i="12"/>
  <c r="C22" i="12"/>
  <c r="C31" i="12" s="1"/>
  <c r="A31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C11" i="10"/>
  <c r="C13" i="10"/>
  <c r="C16" i="10"/>
  <c r="C20" i="10"/>
  <c r="L250" i="1"/>
  <c r="L332" i="1"/>
  <c r="L254" i="1"/>
  <c r="L268" i="1"/>
  <c r="C142" i="2" s="1"/>
  <c r="L269" i="1"/>
  <c r="L349" i="1"/>
  <c r="L350" i="1"/>
  <c r="I665" i="1"/>
  <c r="I670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F78" i="2" s="1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C112" i="2"/>
  <c r="E112" i="2"/>
  <c r="C113" i="2"/>
  <c r="E113" i="2"/>
  <c r="C114" i="2"/>
  <c r="D115" i="2"/>
  <c r="F115" i="2"/>
  <c r="G115" i="2"/>
  <c r="C119" i="2"/>
  <c r="E119" i="2"/>
  <c r="E121" i="2"/>
  <c r="C123" i="2"/>
  <c r="E123" i="2"/>
  <c r="C125" i="2"/>
  <c r="E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F177" i="1"/>
  <c r="I177" i="1"/>
  <c r="F183" i="1"/>
  <c r="G183" i="1"/>
  <c r="G192" i="1" s="1"/>
  <c r="H183" i="1"/>
  <c r="I183" i="1"/>
  <c r="J183" i="1"/>
  <c r="J192" i="1" s="1"/>
  <c r="F188" i="1"/>
  <c r="F192" i="1" s="1"/>
  <c r="G188" i="1"/>
  <c r="H188" i="1"/>
  <c r="H192" i="1" s="1"/>
  <c r="I188" i="1"/>
  <c r="F211" i="1"/>
  <c r="F257" i="1" s="1"/>
  <c r="F271" i="1" s="1"/>
  <c r="G211" i="1"/>
  <c r="G257" i="1" s="1"/>
  <c r="G271" i="1" s="1"/>
  <c r="H211" i="1"/>
  <c r="I211" i="1"/>
  <c r="J211" i="1"/>
  <c r="K211" i="1"/>
  <c r="K257" i="1" s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H408" i="1"/>
  <c r="H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H639" i="1" s="1"/>
  <c r="G461" i="1"/>
  <c r="H461" i="1"/>
  <c r="I461" i="1"/>
  <c r="H642" i="1" s="1"/>
  <c r="F470" i="1"/>
  <c r="G470" i="1"/>
  <c r="G476" i="1" s="1"/>
  <c r="H623" i="1" s="1"/>
  <c r="J623" i="1" s="1"/>
  <c r="H470" i="1"/>
  <c r="H476" i="1" s="1"/>
  <c r="H624" i="1" s="1"/>
  <c r="I470" i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I545" i="1" s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F571" i="1" s="1"/>
  <c r="G560" i="1"/>
  <c r="H560" i="1"/>
  <c r="H571" i="1" s="1"/>
  <c r="I560" i="1"/>
  <c r="J560" i="1"/>
  <c r="J571" i="1" s="1"/>
  <c r="K560" i="1"/>
  <c r="L562" i="1"/>
  <c r="L565" i="1" s="1"/>
  <c r="L563" i="1"/>
  <c r="L564" i="1"/>
  <c r="F565" i="1"/>
  <c r="G565" i="1"/>
  <c r="H565" i="1"/>
  <c r="I565" i="1"/>
  <c r="I571" i="1" s="1"/>
  <c r="J565" i="1"/>
  <c r="K565" i="1"/>
  <c r="K571" i="1" s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J617" i="1" s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H640" i="1"/>
  <c r="G641" i="1"/>
  <c r="H641" i="1"/>
  <c r="J641" i="1" s="1"/>
  <c r="G643" i="1"/>
  <c r="H643" i="1"/>
  <c r="J643" i="1" s="1"/>
  <c r="G644" i="1"/>
  <c r="G645" i="1"/>
  <c r="G649" i="1"/>
  <c r="G650" i="1"/>
  <c r="G652" i="1"/>
  <c r="H652" i="1"/>
  <c r="G653" i="1"/>
  <c r="H653" i="1"/>
  <c r="G654" i="1"/>
  <c r="H654" i="1"/>
  <c r="H655" i="1"/>
  <c r="L328" i="1"/>
  <c r="A40" i="12"/>
  <c r="D18" i="2"/>
  <c r="D6" i="13"/>
  <c r="C6" i="13" s="1"/>
  <c r="C78" i="2"/>
  <c r="C81" i="2" s="1"/>
  <c r="D91" i="2"/>
  <c r="E78" i="2"/>
  <c r="H112" i="1"/>
  <c r="K605" i="1"/>
  <c r="G648" i="1" s="1"/>
  <c r="I169" i="1"/>
  <c r="G338" i="1"/>
  <c r="G352" i="1" s="1"/>
  <c r="J140" i="1"/>
  <c r="K550" i="1"/>
  <c r="J552" i="1"/>
  <c r="H140" i="1"/>
  <c r="L393" i="1"/>
  <c r="C138" i="2" s="1"/>
  <c r="F22" i="13"/>
  <c r="C22" i="13" s="1"/>
  <c r="C35" i="10"/>
  <c r="L570" i="1"/>
  <c r="G36" i="2"/>
  <c r="C16" i="13"/>
  <c r="K551" i="1" l="1"/>
  <c r="F552" i="1"/>
  <c r="H552" i="1"/>
  <c r="K545" i="1"/>
  <c r="L524" i="1"/>
  <c r="H545" i="1"/>
  <c r="K549" i="1"/>
  <c r="K552" i="1" s="1"/>
  <c r="G545" i="1"/>
  <c r="K500" i="1"/>
  <c r="A13" i="12"/>
  <c r="D62" i="2"/>
  <c r="D63" i="2" s="1"/>
  <c r="L427" i="1"/>
  <c r="L401" i="1"/>
  <c r="C139" i="2" s="1"/>
  <c r="J644" i="1"/>
  <c r="J640" i="1"/>
  <c r="J639" i="1"/>
  <c r="I446" i="1"/>
  <c r="G642" i="1" s="1"/>
  <c r="J642" i="1" s="1"/>
  <c r="L419" i="1"/>
  <c r="L434" i="1" s="1"/>
  <c r="G638" i="1" s="1"/>
  <c r="J638" i="1" s="1"/>
  <c r="J655" i="1"/>
  <c r="J645" i="1"/>
  <c r="I476" i="1"/>
  <c r="H625" i="1" s="1"/>
  <c r="C10" i="10"/>
  <c r="G624" i="1"/>
  <c r="J624" i="1" s="1"/>
  <c r="E31" i="2"/>
  <c r="J651" i="1"/>
  <c r="J649" i="1"/>
  <c r="D29" i="13"/>
  <c r="C29" i="13" s="1"/>
  <c r="G661" i="1"/>
  <c r="I661" i="1" s="1"/>
  <c r="L362" i="1"/>
  <c r="H661" i="1"/>
  <c r="D31" i="2"/>
  <c r="D51" i="2" s="1"/>
  <c r="F476" i="1"/>
  <c r="H622" i="1" s="1"/>
  <c r="J622" i="1" s="1"/>
  <c r="L270" i="1"/>
  <c r="K271" i="1"/>
  <c r="I257" i="1"/>
  <c r="H662" i="1"/>
  <c r="L247" i="1"/>
  <c r="H660" i="1" s="1"/>
  <c r="H257" i="1"/>
  <c r="H271" i="1" s="1"/>
  <c r="C21" i="10"/>
  <c r="D15" i="13"/>
  <c r="C15" i="13" s="1"/>
  <c r="C18" i="10"/>
  <c r="C120" i="2"/>
  <c r="D7" i="13"/>
  <c r="C7" i="13" s="1"/>
  <c r="C109" i="2"/>
  <c r="L211" i="1"/>
  <c r="L257" i="1" s="1"/>
  <c r="L271" i="1" s="1"/>
  <c r="G632" i="1" s="1"/>
  <c r="J632" i="1" s="1"/>
  <c r="D5" i="13"/>
  <c r="C5" i="13" s="1"/>
  <c r="C91" i="2"/>
  <c r="F112" i="1"/>
  <c r="E115" i="2"/>
  <c r="E145" i="2" s="1"/>
  <c r="F18" i="2"/>
  <c r="C18" i="2"/>
  <c r="C29" i="10"/>
  <c r="F130" i="2"/>
  <c r="F144" i="2" s="1"/>
  <c r="F145" i="2" s="1"/>
  <c r="K598" i="1"/>
  <c r="G647" i="1" s="1"/>
  <c r="J257" i="1"/>
  <c r="J271" i="1" s="1"/>
  <c r="I52" i="1"/>
  <c r="H620" i="1" s="1"/>
  <c r="G625" i="1"/>
  <c r="J625" i="1" s="1"/>
  <c r="B164" i="2"/>
  <c r="G164" i="2" s="1"/>
  <c r="K503" i="1"/>
  <c r="G156" i="2"/>
  <c r="E103" i="2"/>
  <c r="F81" i="2"/>
  <c r="F104" i="2" s="1"/>
  <c r="E13" i="13"/>
  <c r="C13" i="13" s="1"/>
  <c r="E8" i="13"/>
  <c r="C8" i="13" s="1"/>
  <c r="D12" i="13"/>
  <c r="C12" i="13" s="1"/>
  <c r="L290" i="1"/>
  <c r="L338" i="1" s="1"/>
  <c r="L352" i="1" s="1"/>
  <c r="G633" i="1" s="1"/>
  <c r="J633" i="1" s="1"/>
  <c r="C26" i="10"/>
  <c r="I271" i="1"/>
  <c r="L539" i="1"/>
  <c r="L545" i="1" s="1"/>
  <c r="L382" i="1"/>
  <c r="G636" i="1" s="1"/>
  <c r="J636" i="1" s="1"/>
  <c r="K338" i="1"/>
  <c r="K352" i="1" s="1"/>
  <c r="C62" i="2"/>
  <c r="C19" i="10"/>
  <c r="C15" i="10"/>
  <c r="J338" i="1"/>
  <c r="J352" i="1" s="1"/>
  <c r="D127" i="2"/>
  <c r="D128" i="2" s="1"/>
  <c r="D145" i="2" s="1"/>
  <c r="C124" i="2"/>
  <c r="C111" i="2"/>
  <c r="C56" i="2"/>
  <c r="F662" i="1"/>
  <c r="H25" i="13"/>
  <c r="E81" i="2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G18" i="2"/>
  <c r="F545" i="1"/>
  <c r="H434" i="1"/>
  <c r="J620" i="1"/>
  <c r="J619" i="1"/>
  <c r="D103" i="2"/>
  <c r="I140" i="1"/>
  <c r="A22" i="12"/>
  <c r="G50" i="2"/>
  <c r="G51" i="2" s="1"/>
  <c r="J652" i="1"/>
  <c r="G571" i="1"/>
  <c r="I434" i="1"/>
  <c r="G434" i="1"/>
  <c r="E104" i="2"/>
  <c r="I663" i="1"/>
  <c r="C27" i="10"/>
  <c r="G635" i="1"/>
  <c r="J635" i="1" s="1"/>
  <c r="D104" i="2" l="1"/>
  <c r="C141" i="2"/>
  <c r="C144" i="2" s="1"/>
  <c r="I193" i="1"/>
  <c r="G630" i="1" s="1"/>
  <c r="J630" i="1" s="1"/>
  <c r="G664" i="1"/>
  <c r="G667" i="1" s="1"/>
  <c r="I662" i="1"/>
  <c r="H664" i="1"/>
  <c r="H672" i="1" s="1"/>
  <c r="C6" i="10" s="1"/>
  <c r="C28" i="10"/>
  <c r="D23" i="10" s="1"/>
  <c r="G672" i="1"/>
  <c r="C5" i="10" s="1"/>
  <c r="J647" i="1"/>
  <c r="C128" i="2"/>
  <c r="H648" i="1"/>
  <c r="J648" i="1" s="1"/>
  <c r="C115" i="2"/>
  <c r="F660" i="1"/>
  <c r="F664" i="1" s="1"/>
  <c r="F672" i="1" s="1"/>
  <c r="C4" i="10" s="1"/>
  <c r="C63" i="2"/>
  <c r="C104" i="2"/>
  <c r="L408" i="1"/>
  <c r="C25" i="13"/>
  <c r="H33" i="13"/>
  <c r="D31" i="13"/>
  <c r="C31" i="13" s="1"/>
  <c r="E33" i="13"/>
  <c r="D35" i="13" s="1"/>
  <c r="G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67" i="1"/>
  <c r="D13" i="10"/>
  <c r="D21" i="10"/>
  <c r="D15" i="10"/>
  <c r="D19" i="10"/>
  <c r="D11" i="10"/>
  <c r="D22" i="10"/>
  <c r="D20" i="10"/>
  <c r="D25" i="10"/>
  <c r="D27" i="10"/>
  <c r="D18" i="10"/>
  <c r="D17" i="10"/>
  <c r="D12" i="10"/>
  <c r="D24" i="10"/>
  <c r="D10" i="10"/>
  <c r="D26" i="10"/>
  <c r="C30" i="10"/>
  <c r="D16" i="10"/>
  <c r="I660" i="1"/>
  <c r="I664" i="1" s="1"/>
  <c r="I672" i="1" s="1"/>
  <c r="C7" i="10" s="1"/>
  <c r="C145" i="2"/>
  <c r="F667" i="1"/>
  <c r="G637" i="1"/>
  <c r="J637" i="1" s="1"/>
  <c r="H646" i="1"/>
  <c r="J646" i="1" s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<sst xmlns="http://schemas.openxmlformats.org/spreadsheetml/2006/main" count="3959" uniqueCount="917">
  <si>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</si>
  <si>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</si>
  <si>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</si>
  <si>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</si>
  <si>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</si>
  <si>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</si>
  <si>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</si>
  <si>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</si>
  <si>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</si>
  <si>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</si>
  <si>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</si>
  <si>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</si>
  <si>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</si>
  <si>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</si>
  <si>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</si>
  <si>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</si>
  <si>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</si>
  <si>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</si>
  <si>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</si>
  <si>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</si>
  <si>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</si>
  <si>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</si>
  <si>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</si>
  <si>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</si>
  <si>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</si>
  <si>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</si>
  <si>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</si>
  <si>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</si>
  <si>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</si>
  <si>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</si>
  <si>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</si>
  <si>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</si>
  <si>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</si>
  <si>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</si>
  <si>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</si>
  <si>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</si>
  <si>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</si>
  <si>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</si>
  <si>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</si>
  <si>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</si>
  <si>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</si>
  <si>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</si>
  <si>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</si>
  <si>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</si>
  <si>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</si>
  <si>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</si>
  <si>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</si>
  <si>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</si>
  <si>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</si>
  <si>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</si>
  <si>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</si>
  <si>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</si>
  <si>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</si>
  <si>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</si>
  <si>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</si>
  <si>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</si>
  <si>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</si>
  <si>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</si>
  <si>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</si>
  <si>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</si>
  <si>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</si>
  <si>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</si>
  <si>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</si>
  <si>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</si>
  <si>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</si>
  <si>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</si>
  <si>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</si>
  <si>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</si>
  <si>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</si>
  <si>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</si>
  <si>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</si>
  <si>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</si>
  <si>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</si>
  <si>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</si>
  <si>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</si>
  <si>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</si>
  <si>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</si>
  <si>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</si>
  <si>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</si>
  <si>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</si>
  <si>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</si>
  <si>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</si>
  <si>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</si>
  <si>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</si>
  <si>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</si>
  <si>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</si>
  <si>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</si>
  <si>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</si>
  <si>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</si>
  <si>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</si>
  <si>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</si>
  <si>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</si>
  <si>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</si>
  <si>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</si>
  <si>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</si>
  <si>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</si>
  <si>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</si>
  <si>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</si>
  <si>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</si>
  <si>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</si>
  <si>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</si>
  <si>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</si>
  <si>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</si>
  <si>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</si>
  <si>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</si>
  <si>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</si>
  <si>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</si>
  <si>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</si>
  <si>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</si>
  <si>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</si>
  <si>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</si>
  <si>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</si>
  <si>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</si>
  <si>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</si>
  <si>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</si>
  <si>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</si>
  <si>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</si>
  <si>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</si>
  <si>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</si>
  <si>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</si>
  <si>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</si>
  <si>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</si>
  <si>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</si>
  <si>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</si>
  <si>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</si>
  <si>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</si>
  <si>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</si>
  <si>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</si>
  <si>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</si>
  <si>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</si>
  <si>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</si>
  <si>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</si>
  <si>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</si>
  <si>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</si>
  <si>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</si>
  <si>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</si>
  <si>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</si>
  <si>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</si>
  <si>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</si>
  <si>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</si>
  <si>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</si>
  <si>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</si>
  <si>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</si>
  <si>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</si>
  <si>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</si>
  <si>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</si>
  <si>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</si>
  <si>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</si>
  <si>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</si>
  <si>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</si>
  <si>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</si>
  <si>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</si>
  <si>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</si>
  <si>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</si>
  <si>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</si>
  <si>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</si>
  <si>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</si>
  <si>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</si>
  <si>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</si>
  <si>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</si>
  <si>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</si>
  <si>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</si>
  <si>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</si>
  <si>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</si>
  <si>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</si>
  <si>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</si>
  <si>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</si>
  <si>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</si>
  <si>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</si>
  <si>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</si>
  <si>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</si>
  <si>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</si>
  <si>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</si>
  <si>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</si>
  <si>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</si>
  <si>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</si>
  <si>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</si>
  <si>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</si>
  <si>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</si>
  <si>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</si>
  <si>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</si>
  <si>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</si>
  <si>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</si>
  <si>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</si>
  <si>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</si>
  <si>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</si>
  <si>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</si>
  <si>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</si>
  <si>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</si>
  <si>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</si>
  <si>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</si>
  <si>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</si>
  <si>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</si>
  <si>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</si>
  <si>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</si>
  <si>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</si>
  <si>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</si>
  <si>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</si>
  <si>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</si>
  <si>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</si>
  <si>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</si>
  <si>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</si>
  <si>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</si>
  <si>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</si>
  <si>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</si>
  <si>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</si>
  <si>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</si>
  <si>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</si>
  <si>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</si>
  <si>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</si>
  <si>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</si>
  <si>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</si>
  <si>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</si>
  <si>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</si>
  <si>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</si>
  <si>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</si>
  <si>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</si>
  <si>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</si>
  <si>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</si>
  <si>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</si>
  <si>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</si>
  <si>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</si>
  <si>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</si>
  <si>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</si>
  <si>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</si>
  <si>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</si>
  <si>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</si>
  <si>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</si>
  <si>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</si>
  <si>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</si>
  <si>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</si>
  <si>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</si>
  <si>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</si>
  <si>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</si>
  <si>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</si>
  <si>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</si>
  <si>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</si>
  <si>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</si>
  <si>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</si>
  <si>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</si>
  <si>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</si>
  <si>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</si>
  <si>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</si>
  <si>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</si>
  <si>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</si>
  <si>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</si>
  <si>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</si>
  <si>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</si>
  <si>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</si>
  <si>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</si>
  <si>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</si>
  <si>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</si>
  <si>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</si>
  <si>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</si>
  <si>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</si>
  <si>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</si>
  <si>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</si>
  <si>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</si>
  <si>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</si>
  <si>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</si>
  <si>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</si>
  <si>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</si>
  <si>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</si>
  <si>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</si>
  <si>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</si>
  <si>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</si>
  <si>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</si>
  <si>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</si>
  <si>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</si>
  <si>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</si>
  <si>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</si>
  <si>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</si>
  <si>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</si>
  <si>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</si>
  <si>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</si>
  <si>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</si>
  <si>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</si>
  <si>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</si>
  <si>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</si>
  <si>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</si>
  <si>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</si>
  <si>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</si>
  <si>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</si>
  <si>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</si>
  <si>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</si>
  <si>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</si>
  <si>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</si>
  <si>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</si>
  <si>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</si>
  <si>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</si>
  <si>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</si>
  <si>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</si>
  <si>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</si>
  <si>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</si>
  <si>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</si>
  <si>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</si>
  <si>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</si>
  <si>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</si>
  <si>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</si>
  <si>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</si>
  <si>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</si>
  <si>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</si>
  <si>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</si>
  <si>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</si>
  <si>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</si>
  <si>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</si>
  <si>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</si>
  <si>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</si>
  <si>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</si>
  <si>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</si>
  <si>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</si>
  <si>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</si>
  <si>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</si>
  <si>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</si>
  <si>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</si>
  <si>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</si>
  <si>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</si>
  <si>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</si>
  <si>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</si>
  <si>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</si>
  <si>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</si>
  <si>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</si>
  <si>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</si>
  <si>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</si>
  <si>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</si>
  <si>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</si>
  <si>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</si>
  <si>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</si>
  <si>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</si>
  <si>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</si>
  <si>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</si>
  <si>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</si>
  <si>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</si>
  <si>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</si>
  <si>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</si>
  <si>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</si>
  <si>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</si>
  <si>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</si>
  <si>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</si>
  <si>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</si>
  <si>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</si>
  <si>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</si>
  <si>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</si>
  <si>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</si>
  <si>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</si>
  <si>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</si>
  <si>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</si>
  <si>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</si>
  <si>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</si>
  <si>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</si>
  <si>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</si>
  <si>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</si>
  <si>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</si>
  <si>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</si>
  <si>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</si>
  <si>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</si>
  <si>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</si>
  <si>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</si>
  <si>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</si>
  <si>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</si>
  <si>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</si>
  <si>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</si>
  <si>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</si>
  <si>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</si>
  <si>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</si>
  <si>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</si>
  <si>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</si>
  <si>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</si>
  <si>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</si>
  <si>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</si>
  <si>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</si>
  <si>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</si>
  <si>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</si>
  <si>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</si>
  <si>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</si>
  <si>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</si>
  <si>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</si>
  <si>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</si>
  <si>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</si>
  <si>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</si>
  <si>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</si>
  <si>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</si>
  <si>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</si>
  <si>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</si>
  <si>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</si>
  <si>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</si>
  <si>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</si>
  <si>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</si>
  <si>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</si>
  <si>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</si>
  <si>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</si>
  <si>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</si>
  <si>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</si>
  <si>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</si>
  <si>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</si>
  <si>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</si>
  <si>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</si>
  <si>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</si>
  <si>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</si>
  <si>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</si>
  <si>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</si>
  <si>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</si>
  <si>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</si>
  <si>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</si>
  <si>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</si>
  <si>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</si>
  <si>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</si>
  <si>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</si>
  <si>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</si>
  <si>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</si>
  <si>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</si>
  <si>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</si>
  <si>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</si>
  <si>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</si>
  <si>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</si>
  <si>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</si>
  <si>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</si>
  <si>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</si>
  <si>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</si>
  <si>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</si>
  <si>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</si>
  <si>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</si>
  <si>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</si>
  <si>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</si>
  <si>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</si>
  <si>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</si>
  <si>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</si>
  <si>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</si>
  <si>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</si>
  <si>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</si>
  <si>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</si>
  <si>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</si>
  <si>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</si>
  <si>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</si>
  <si>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</si>
  <si>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</si>
  <si>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</si>
  <si>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</si>
  <si>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</si>
  <si>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</si>
  <si>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</si>
  <si>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</si>
  <si>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</si>
  <si>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</si>
  <si>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</si>
  <si>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</si>
  <si>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</si>
  <si>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</si>
  <si>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</si>
  <si>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</si>
  <si>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</si>
  <si>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</si>
  <si>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</si>
  <si>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</si>
  <si>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</si>
  <si>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</si>
  <si>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</si>
  <si>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</si>
  <si>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</si>
  <si>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</si>
  <si>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</si>
  <si>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</si>
  <si>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</si>
  <si>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</si>
  <si>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</si>
  <si>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</si>
  <si>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</si>
  <si>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</si>
  <si>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</si>
  <si>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</si>
  <si>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</si>
  <si>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</si>
  <si>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</si>
  <si>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</si>
  <si>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</si>
  <si>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</si>
  <si>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</si>
  <si>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</si>
  <si>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</si>
  <si>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</si>
  <si>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</si>
  <si>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</si>
  <si>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</si>
  <si>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</si>
  <si>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</si>
  <si>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</si>
  <si>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</si>
  <si>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</si>
  <si>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</si>
  <si>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</si>
  <si>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</si>
  <si>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</si>
  <si>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</si>
  <si>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</si>
  <si>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</si>
  <si>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</si>
  <si>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</si>
  <si>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</si>
  <si>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</si>
  <si>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</si>
  <si>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</si>
  <si>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</si>
  <si>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</si>
  <si>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</si>
  <si>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</si>
  <si>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</si>
  <si>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</si>
  <si>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</si>
  <si>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</si>
  <si>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</si>
  <si>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</si>
  <si>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</si>
  <si>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</si>
  <si>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</si>
  <si>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</si>
  <si>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</si>
  <si>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</si>
  <si>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</si>
  <si>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</si>
  <si>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</si>
  <si>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</si>
  <si>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</si>
  <si>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</si>
  <si>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</si>
  <si>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</si>
  <si>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</si>
  <si>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</si>
  <si>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</si>
  <si>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</si>
  <si>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</si>
  <si>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</si>
  <si>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</si>
  <si>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</si>
  <si>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</si>
  <si>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</si>
  <si>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</si>
  <si>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</si>
  <si>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</si>
  <si>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</si>
  <si>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</si>
  <si>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</si>
  <si>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</si>
  <si>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</si>
  <si>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</si>
  <si>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</si>
  <si>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</si>
  <si>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</si>
  <si>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</si>
  <si>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</si>
  <si>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</si>
  <si>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</si>
  <si>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</si>
  <si>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</si>
  <si>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</si>
  <si>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</si>
  <si>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</si>
  <si>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</si>
  <si>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</si>
  <si>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</si>
  <si>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</si>
  <si>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</si>
  <si>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</si>
  <si>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</si>
  <si>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</si>
  <si>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</si>
  <si>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</si>
  <si>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</si>
  <si>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</si>
  <si>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</si>
  <si>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</si>
  <si>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</si>
  <si>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</si>
  <si>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</si>
  <si>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</si>
  <si>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</si>
  <si>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</si>
  <si>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</si>
  <si>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</si>
  <si>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</si>
  <si>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</si>
  <si>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</si>
  <si>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</si>
  <si>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</si>
  <si>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</si>
  <si>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</si>
  <si>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</si>
  <si>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</si>
  <si>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</si>
  <si>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</si>
  <si>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</si>
  <si>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</si>
  <si>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</si>
  <si>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</si>
  <si>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</si>
  <si>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</si>
  <si>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</si>
  <si>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</si>
  <si>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</si>
  <si>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</si>
  <si>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</si>
  <si>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</si>
  <si>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</si>
  <si>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</si>
  <si>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</si>
  <si>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</si>
  <si>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</si>
  <si>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</si>
  <si>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</si>
  <si>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</si>
  <si>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</si>
  <si>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</si>
  <si>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</si>
  <si>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</si>
  <si>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</si>
  <si>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</si>
  <si>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</si>
  <si>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</si>
  <si>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</si>
  <si>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</si>
  <si>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</si>
  <si>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</si>
  <si>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</si>
  <si>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</si>
  <si>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</si>
  <si>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</si>
  <si>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</si>
  <si>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</si>
  <si>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</si>
  <si>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</si>
  <si>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</si>
  <si>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</si>
  <si>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</si>
  <si>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</si>
  <si>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</si>
  <si>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</si>
  <si>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</si>
  <si>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</si>
  <si>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</si>
  <si>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</si>
  <si>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</si>
  <si>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</si>
  <si>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</si>
  <si>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</si>
  <si>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</si>
  <si>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</si>
  <si>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</si>
  <si>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</si>
  <si>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</si>
  <si>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</si>
  <si>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</si>
  <si>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</si>
  <si>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</si>
  <si>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</si>
  <si>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</si>
  <si>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</si>
  <si>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</si>
  <si>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</si>
  <si>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</si>
  <si>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</si>
  <si>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</si>
  <si>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</si>
  <si>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</si>
  <si>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</si>
  <si>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</si>
  <si>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</si>
  <si>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</si>
  <si>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</si>
  <si>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</si>
  <si>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</si>
  <si>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</si>
  <si>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</si>
  <si>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</si>
  <si>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</si>
  <si>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</si>
  <si>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</si>
  <si>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</si>
  <si>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</si>
  <si>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</si>
  <si>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</si>
  <si>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</si>
  <si>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</si>
  <si>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</si>
  <si>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</si>
  <si>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</si>
  <si>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</si>
  <si>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</si>
  <si>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</si>
  <si>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</si>
  <si>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</si>
  <si>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</si>
  <si>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</si>
  <si>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</si>
  <si>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</si>
  <si>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</si>
  <si>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</si>
  <si>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</si>
  <si>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</si>
  <si>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</si>
  <si>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</si>
  <si>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</si>
  <si>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</si>
  <si>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</si>
  <si>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</si>
  <si>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</si>
  <si>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</si>
  <si>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</si>
  <si>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</si>
  <si>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</si>
  <si>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</si>
  <si>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</si>
  <si>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</si>
  <si>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</si>
  <si>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</si>
  <si>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</si>
  <si>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</si>
  <si>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</si>
  <si>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</si>
  <si>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</si>
  <si>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</si>
  <si>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</si>
  <si>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</si>
  <si>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</si>
  <si>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</si>
  <si>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</si>
  <si>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</si>
  <si>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</si>
  <si>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</si>
  <si>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</si>
  <si>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</si>
  <si>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</si>
  <si>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</si>
  <si>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</si>
  <si>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</si>
  <si>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</si>
  <si>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</si>
  <si>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</si>
  <si>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</si>
  <si>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</si>
  <si>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</si>
  <si>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</si>
  <si>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</si>
  <si>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</si>
  <si>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</si>
  <si>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</si>
  <si>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</si>
  <si>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</si>
  <si>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</si>
  <si>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</si>
  <si>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</si>
  <si>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</si>
  <si>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</si>
  <si>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</si>
  <si>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</si>
  <si>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</si>
  <si>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</si>
  <si>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</si>
  <si>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</si>
  <si>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</si>
  <si>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</si>
  <si>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</si>
  <si>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</si>
  <si>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</si>
  <si>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</si>
  <si>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</si>
  <si>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</si>
  <si>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</si>
  <si>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</si>
  <si>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</si>
  <si>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</si>
  <si>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</si>
  <si>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</si>
  <si>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</si>
  <si>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</si>
  <si>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</si>
  <si>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</si>
  <si>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</si>
  <si>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</si>
  <si>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</si>
  <si>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</si>
  <si>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</si>
  <si>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</si>
  <si>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</si>
  <si>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</si>
  <si>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</si>
  <si>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</si>
  <si>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</si>
  <si>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</si>
  <si>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</si>
  <si>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</si>
  <si>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</si>
  <si>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</si>
  <si>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</si>
  <si>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</si>
  <si>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</si>
  <si>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</si>
  <si>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</si>
  <si>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</si>
  <si>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</si>
  <si>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</si>
  <si>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</si>
  <si>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</si>
  <si>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</si>
  <si>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</si>
  <si>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</si>
  <si>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</si>
  <si>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</si>
  <si>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</si>
  <si>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</si>
  <si>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</si>
  <si>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</si>
  <si>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</si>
  <si>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</si>
  <si>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</si>
  <si>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</si>
  <si>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</si>
  <si>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</si>
  <si>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</si>
  <si>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</si>
  <si>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</si>
  <si>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</si>
  <si>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</si>
  <si>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</si>
  <si>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</si>
  <si>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</si>
  <si>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</si>
  <si>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</si>
  <si>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</si>
  <si>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</si>
  <si>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</si>
  <si>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</si>
  <si>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</si>
  <si>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</si>
  <si>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</si>
  <si>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</si>
  <si>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</si>
  <si>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</si>
  <si>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</si>
  <si>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</si>
  <si>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</si>
  <si>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</si>
  <si>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</si>
  <si>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</si>
  <si>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</si>
  <si>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</si>
  <si>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</si>
  <si>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</si>
  <si>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</si>
  <si>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</si>
  <si>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</si>
  <si>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</si>
  <si>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</si>
  <si>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</si>
  <si>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</si>
  <si>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</si>
  <si>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</si>
  <si>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</si>
  <si>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</si>
  <si>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</si>
  <si>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</si>
  <si>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</si>
  <si>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</si>
  <si>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</si>
  <si>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</si>
  <si>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</si>
  <si>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</si>
  <si>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</si>
  <si>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</si>
  <si>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</si>
  <si>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</si>
  <si>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</si>
  <si>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</si>
  <si>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</si>
  <si>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</si>
  <si>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</si>
  <si>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</si>
  <si>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</si>
  <si>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</si>
  <si>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</si>
  <si>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</si>
  <si>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</si>
  <si>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</si>
  <si>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</si>
  <si>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</si>
  <si>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</si>
  <si>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</si>
  <si>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</si>
  <si>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</si>
  <si>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</si>
  <si>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</si>
  <si>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</si>
  <si>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</si>
  <si>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</si>
  <si>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</si>
  <si>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</si>
  <si>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</si>
  <si>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</si>
  <si>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</si>
  <si>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</si>
  <si>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</si>
  <si>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</si>
  <si>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</si>
  <si>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</si>
  <si>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</si>
  <si>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</si>
  <si>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</si>
  <si>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</si>
  <si>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</si>
  <si>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</si>
  <si>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</si>
  <si>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</si>
  <si>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</si>
  <si>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</si>
  <si>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Hanover School District</t>
  </si>
  <si>
    <t>audited difference was never adjusted on form</t>
  </si>
  <si>
    <t>local grant rollovers were nested in GF</t>
  </si>
  <si>
    <t>02/15</t>
  </si>
  <si>
    <t>02/36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</si>
</sst>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10" fillId="0" borderId="0" xfId="0" applyFon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5" t="s">
        <v>912</v>
      </c>
      <c r="B2" s="21">
        <v>233</v>
      </c>
      <c r="C2" s="21">
        <v>233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4" t="s">
        <v>281</v>
      </c>
      <c r="G6" s="224" t="s">
        <v>282</v>
      </c>
      <c r="H6" s="224" t="s">
        <v>283</v>
      </c>
      <c r="I6" s="224" t="s">
        <v>284</v>
      </c>
      <c r="J6" s="224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4"/>
      <c r="G7" s="225"/>
      <c r="H7" s="224" t="s">
        <v>772</v>
      </c>
      <c r="I7" s="225"/>
      <c r="J7" s="225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100+167206.79+272.84</f>
        <v>167579.63</v>
      </c>
      <c r="G9" s="18"/>
      <c r="H9" s="18"/>
      <c r="I9" s="18"/>
      <c r="J9" s="67">
        <f>SUM(I439)</f>
        <v>1473419.87</v>
      </c>
      <c r="K9" s="24" t="s">
        <v>289</v>
      </c>
      <c r="L9" s="24" t="s">
        <v>289</v>
      </c>
      <c r="M9" s="8"/>
      <c r="N9" s="271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1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1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1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2596.41</v>
      </c>
      <c r="G13" s="18"/>
      <c r="H13" s="18">
        <v>31594.18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1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368.3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1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1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1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3819.61</v>
      </c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1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5798000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1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5972363.9500000002</v>
      </c>
      <c r="G19" s="41">
        <f>SUM(G9:G18)</f>
        <v>0</v>
      </c>
      <c r="H19" s="41">
        <f>SUM(H9:H18)</f>
        <v>31594.18</v>
      </c>
      <c r="I19" s="41">
        <f>SUM(I9:I18)</f>
        <v>0</v>
      </c>
      <c r="J19" s="41">
        <f>SUM(J9:J18)</f>
        <v>1473419.87</v>
      </c>
      <c r="K19" s="45" t="s">
        <v>289</v>
      </c>
      <c r="L19" s="45" t="s">
        <v>289</v>
      </c>
      <c r="M19" s="8"/>
      <c r="N19" s="271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1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1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3005.6</v>
      </c>
      <c r="G22" s="18">
        <v>-13447.38</v>
      </c>
      <c r="H22" s="18">
        <f>31594.18-63753.23</f>
        <v>-32159.050000000003</v>
      </c>
      <c r="I22" s="18">
        <v>45301.58</v>
      </c>
      <c r="J22" s="67">
        <f>SUM(I448)</f>
        <v>0</v>
      </c>
      <c r="K22" s="24" t="s">
        <v>289</v>
      </c>
      <c r="L22" s="24" t="s">
        <v>289</v>
      </c>
      <c r="M22" s="8"/>
      <c r="N22" s="271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1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151049.60000000001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1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1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407000</v>
      </c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1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1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1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1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1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f>136000+5255000</f>
        <v>5391000</v>
      </c>
      <c r="G31" s="18">
        <v>22766.01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1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5952055.2000000002</v>
      </c>
      <c r="G32" s="41">
        <f>SUM(G22:G31)</f>
        <v>9318.6299999999992</v>
      </c>
      <c r="H32" s="41">
        <f>SUM(H22:H31)</f>
        <v>-32159.050000000003</v>
      </c>
      <c r="I32" s="41">
        <f>SUM(I22:I31)</f>
        <v>45301.58</v>
      </c>
      <c r="J32" s="41">
        <f>SUM(J22:J31)</f>
        <v>0</v>
      </c>
      <c r="K32" s="45" t="s">
        <v>289</v>
      </c>
      <c r="L32" s="45" t="s">
        <v>289</v>
      </c>
      <c r="M32" s="8"/>
      <c r="N32" s="271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1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1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1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1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1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1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1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1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1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1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1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1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1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1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1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-9318.6299999999992</v>
      </c>
      <c r="H48" s="18">
        <v>63753.23</v>
      </c>
      <c r="I48" s="18">
        <v>-45301.58</v>
      </c>
      <c r="J48" s="13">
        <f>SUM(I459)</f>
        <v>1473419.87</v>
      </c>
      <c r="K48" s="24" t="s">
        <v>289</v>
      </c>
      <c r="L48" s="24" t="s">
        <v>289</v>
      </c>
      <c r="M48" s="8"/>
      <c r="N48" s="271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1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320339.01-300030.26</f>
        <v>20308.75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1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20308.75</v>
      </c>
      <c r="G51" s="41">
        <f>SUM(G35:G50)</f>
        <v>-9318.6299999999992</v>
      </c>
      <c r="H51" s="41">
        <f>SUM(H35:H50)</f>
        <v>63753.23</v>
      </c>
      <c r="I51" s="41">
        <f>SUM(I35:I50)</f>
        <v>-45301.58</v>
      </c>
      <c r="J51" s="41">
        <f>SUM(J35:J50)</f>
        <v>1473419.87</v>
      </c>
      <c r="K51" s="45" t="s">
        <v>289</v>
      </c>
      <c r="L51" s="45" t="s">
        <v>289</v>
      </c>
      <c r="N51" s="269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5972363.9500000002</v>
      </c>
      <c r="G52" s="41">
        <f>G51+G32</f>
        <v>0</v>
      </c>
      <c r="H52" s="41">
        <f>H51+H32</f>
        <v>31594.18</v>
      </c>
      <c r="I52" s="41">
        <f>I51+I32</f>
        <v>0</v>
      </c>
      <c r="J52" s="41">
        <f>J51+J32</f>
        <v>1473419.87</v>
      </c>
      <c r="K52" s="45" t="s">
        <v>289</v>
      </c>
      <c r="L52" s="45" t="s">
        <v>289</v>
      </c>
      <c r="M52" s="8"/>
      <c r="N52" s="271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1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1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1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1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12771365-2278464</f>
        <v>10492901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1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1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2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10492901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2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1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1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1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7607.76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1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2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1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1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1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161473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1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1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1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1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1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1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1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1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1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69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169080.76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1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1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1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1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1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1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1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1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1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1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1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1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1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1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1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1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1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4036.61</v>
      </c>
      <c r="G96" s="18"/>
      <c r="H96" s="18"/>
      <c r="I96" s="18"/>
      <c r="J96" s="18">
        <f>5677.92</f>
        <v>5677.92</v>
      </c>
      <c r="K96" s="24" t="s">
        <v>289</v>
      </c>
      <c r="L96" s="24" t="s">
        <v>289</v>
      </c>
      <c r="M96" s="8"/>
      <c r="N96" s="271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164305.5</f>
        <v>164305.5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1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1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1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1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12438.3</v>
      </c>
      <c r="G101" s="18">
        <v>108.8</v>
      </c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1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1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1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1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1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1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1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1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55825.45</v>
      </c>
      <c r="G109" s="18"/>
      <c r="H109" s="18"/>
      <c r="I109" s="18">
        <v>26000</v>
      </c>
      <c r="J109" s="24" t="s">
        <v>289</v>
      </c>
      <c r="K109" s="24" t="s">
        <v>289</v>
      </c>
      <c r="L109" s="24" t="s">
        <v>289</v>
      </c>
      <c r="M109" s="8"/>
      <c r="N109" s="271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568.52</v>
      </c>
      <c r="G110" s="18">
        <v>468.5</v>
      </c>
      <c r="H110" s="18"/>
      <c r="I110" s="18"/>
      <c r="J110" s="18"/>
      <c r="K110" s="24" t="s">
        <v>289</v>
      </c>
      <c r="L110" s="24" t="s">
        <v>289</v>
      </c>
      <c r="M110" s="8"/>
      <c r="N110" s="271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72868.88</v>
      </c>
      <c r="G111" s="41">
        <f>SUM(G96:G110)</f>
        <v>164882.79999999999</v>
      </c>
      <c r="H111" s="41">
        <f>SUM(H96:H110)</f>
        <v>0</v>
      </c>
      <c r="I111" s="41">
        <f>SUM(I96:I110)</f>
        <v>26000</v>
      </c>
      <c r="J111" s="41">
        <f>SUM(J96:J110)</f>
        <v>5677.92</v>
      </c>
      <c r="K111" s="45" t="s">
        <v>289</v>
      </c>
      <c r="L111" s="45" t="s">
        <v>289</v>
      </c>
      <c r="N111" s="269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10734850.640000001</v>
      </c>
      <c r="G112" s="41">
        <f>G60+G111</f>
        <v>164882.79999999999</v>
      </c>
      <c r="H112" s="41">
        <f>H60+H79+H94+H111</f>
        <v>0</v>
      </c>
      <c r="I112" s="41">
        <f>I60+I111</f>
        <v>26000</v>
      </c>
      <c r="J112" s="41">
        <f>J60+J111</f>
        <v>5677.92</v>
      </c>
      <c r="K112" s="45" t="s">
        <v>289</v>
      </c>
      <c r="L112" s="45" t="s">
        <v>289</v>
      </c>
      <c r="M112" s="8"/>
      <c r="N112" s="271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1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1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1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1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1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2278464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1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1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1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2278464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1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1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153108.39000000001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1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1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1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478717.28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1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1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1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1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1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1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1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1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1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1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631825.67000000004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1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1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1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1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2910289.67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1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1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1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3" t="s">
        <v>772</v>
      </c>
      <c r="I143" s="16" t="s">
        <v>284</v>
      </c>
      <c r="J143" s="16" t="s">
        <v>285</v>
      </c>
      <c r="K143" s="20"/>
      <c r="L143" s="20"/>
      <c r="M143" s="8"/>
      <c r="N143" s="271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1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1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1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1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1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1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1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1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1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1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1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3579.48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1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1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1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1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91069.6+5069</f>
        <v>96138.6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1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123232.42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1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1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123232.42</v>
      </c>
      <c r="G162" s="41">
        <f>SUM(G150:G161)</f>
        <v>0</v>
      </c>
      <c r="H162" s="41">
        <f>SUM(H150:H161)</f>
        <v>99718.080000000002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1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1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1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3589.79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1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1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1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1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126822.20999999999</v>
      </c>
      <c r="G169" s="41">
        <f>G147+G162+SUM(G163:G168)</f>
        <v>0</v>
      </c>
      <c r="H169" s="41">
        <f>H147+H162+SUM(H163:H168)</f>
        <v>99718.080000000002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1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1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1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3" t="s">
        <v>772</v>
      </c>
      <c r="I172" s="16" t="s">
        <v>284</v>
      </c>
      <c r="J172" s="16" t="s">
        <v>285</v>
      </c>
      <c r="K172" s="20"/>
      <c r="L172" s="20"/>
      <c r="M172" s="8"/>
      <c r="N172" s="271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61625</v>
      </c>
      <c r="J173" s="24" t="s">
        <v>289</v>
      </c>
      <c r="K173" s="24" t="s">
        <v>289</v>
      </c>
      <c r="L173" s="24" t="s">
        <v>289</v>
      </c>
      <c r="M173" s="8"/>
      <c r="N173" s="271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1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1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1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61625</v>
      </c>
      <c r="J177" s="45" t="s">
        <v>289</v>
      </c>
      <c r="K177" s="45" t="s">
        <v>289</v>
      </c>
      <c r="L177" s="45" t="s">
        <v>289</v>
      </c>
      <c r="M177" s="8"/>
      <c r="N177" s="271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1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12497.25</v>
      </c>
      <c r="H179" s="18"/>
      <c r="I179" s="18"/>
      <c r="J179" s="18">
        <v>85000</v>
      </c>
      <c r="K179" s="24" t="s">
        <v>289</v>
      </c>
      <c r="L179" s="24" t="s">
        <v>289</v>
      </c>
      <c r="M179" s="8"/>
      <c r="N179" s="271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1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1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1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12497.25</v>
      </c>
      <c r="H183" s="41">
        <f>SUM(H179:H182)</f>
        <v>0</v>
      </c>
      <c r="I183" s="41">
        <f>SUM(I179:I182)</f>
        <v>0</v>
      </c>
      <c r="J183" s="41">
        <f>SUM(J179:J182)</f>
        <v>85000</v>
      </c>
      <c r="K183" s="45" t="s">
        <v>289</v>
      </c>
      <c r="L183" s="45" t="s">
        <v>289</v>
      </c>
      <c r="M183" s="8"/>
      <c r="N183" s="271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1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1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100000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1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69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100000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9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1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1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1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100000</v>
      </c>
      <c r="G192" s="41">
        <f>G183+SUM(G188:G191)</f>
        <v>12497.25</v>
      </c>
      <c r="H192" s="41">
        <f>+H183+SUM(H188:H191)</f>
        <v>0</v>
      </c>
      <c r="I192" s="41">
        <f>I177+I183+SUM(I188:I191)</f>
        <v>61625</v>
      </c>
      <c r="J192" s="41">
        <f>J183</f>
        <v>85000</v>
      </c>
      <c r="K192" s="45" t="s">
        <v>289</v>
      </c>
      <c r="L192" s="45" t="s">
        <v>289</v>
      </c>
      <c r="M192" s="8"/>
      <c r="N192" s="271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13871962.520000001</v>
      </c>
      <c r="G193" s="47">
        <f>G112+G140+G169+G192</f>
        <v>177380.05</v>
      </c>
      <c r="H193" s="47">
        <f>H112+H140+H169+H192</f>
        <v>99718.080000000002</v>
      </c>
      <c r="I193" s="47">
        <f>I112+I140+I169+I192</f>
        <v>87625</v>
      </c>
      <c r="J193" s="47">
        <f>J112+J140+J192</f>
        <v>90677.92</v>
      </c>
      <c r="K193" s="45" t="s">
        <v>289</v>
      </c>
      <c r="L193" s="45" t="s">
        <v>289</v>
      </c>
      <c r="M193" s="8"/>
      <c r="N193" s="271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6" t="s">
        <v>693</v>
      </c>
      <c r="G194" s="176" t="s">
        <v>694</v>
      </c>
      <c r="H194" s="176" t="s">
        <v>695</v>
      </c>
      <c r="I194" s="176" t="s">
        <v>696</v>
      </c>
      <c r="J194" s="176" t="s">
        <v>697</v>
      </c>
      <c r="K194" s="176" t="s">
        <v>698</v>
      </c>
      <c r="L194" s="56"/>
      <c r="M194" s="8"/>
      <c r="N194" s="271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1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1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3070586.58</v>
      </c>
      <c r="G197" s="18">
        <v>1361617.51</v>
      </c>
      <c r="H197" s="18">
        <v>2192620.5</v>
      </c>
      <c r="I197" s="18">
        <v>73323.77</v>
      </c>
      <c r="J197" s="18">
        <v>34781.599999999999</v>
      </c>
      <c r="K197" s="18"/>
      <c r="L197" s="19">
        <f>SUM(F197:K197)</f>
        <v>6732929.959999999</v>
      </c>
      <c r="M197" s="8"/>
      <c r="N197" s="271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1589800.1</v>
      </c>
      <c r="G198" s="18">
        <v>769024.84</v>
      </c>
      <c r="H198" s="18">
        <v>323023.69</v>
      </c>
      <c r="I198" s="18">
        <v>8164.69</v>
      </c>
      <c r="J198" s="18">
        <v>5266.23</v>
      </c>
      <c r="K198" s="18">
        <v>475.4</v>
      </c>
      <c r="L198" s="19">
        <f>SUM(F198:K198)</f>
        <v>2695754.9499999997</v>
      </c>
      <c r="M198" s="8"/>
      <c r="N198" s="271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1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1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1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185062.43</v>
      </c>
      <c r="G202" s="18">
        <v>82644.13</v>
      </c>
      <c r="H202" s="18">
        <v>1734.23</v>
      </c>
      <c r="I202" s="18">
        <v>2448.96</v>
      </c>
      <c r="J202" s="18"/>
      <c r="K202" s="18">
        <v>150</v>
      </c>
      <c r="L202" s="19">
        <f t="shared" ref="L202:L208" si="0">SUM(F202:K202)</f>
        <v>272039.75</v>
      </c>
      <c r="M202" s="8"/>
      <c r="N202" s="271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91617.73</v>
      </c>
      <c r="G203" s="18">
        <v>114964.86</v>
      </c>
      <c r="H203" s="18">
        <v>19334.259999999998</v>
      </c>
      <c r="I203" s="18">
        <v>15515.18</v>
      </c>
      <c r="J203" s="18">
        <v>9939.2999999999993</v>
      </c>
      <c r="K203" s="18"/>
      <c r="L203" s="19">
        <f t="shared" si="0"/>
        <v>251371.33</v>
      </c>
      <c r="M203" s="8"/>
      <c r="N203" s="271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8118</v>
      </c>
      <c r="G204" s="18">
        <v>640.37</v>
      </c>
      <c r="H204" s="18">
        <v>393231.25</v>
      </c>
      <c r="I204" s="18"/>
      <c r="J204" s="18"/>
      <c r="K204" s="18">
        <v>5142.84</v>
      </c>
      <c r="L204" s="19">
        <f t="shared" si="0"/>
        <v>407132.46</v>
      </c>
      <c r="M204" s="8"/>
      <c r="N204" s="271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264125.56</v>
      </c>
      <c r="G205" s="18">
        <v>366733.68</v>
      </c>
      <c r="H205" s="18">
        <v>32927.43</v>
      </c>
      <c r="I205" s="18">
        <v>2290.81</v>
      </c>
      <c r="J205" s="18">
        <v>177.53</v>
      </c>
      <c r="K205" s="18">
        <v>864</v>
      </c>
      <c r="L205" s="19">
        <f t="shared" si="0"/>
        <v>667119.01000000013</v>
      </c>
      <c r="M205" s="8"/>
      <c r="N205" s="271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1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178983.99</v>
      </c>
      <c r="G207" s="18">
        <v>104946.88</v>
      </c>
      <c r="H207" s="18">
        <v>149392.32000000001</v>
      </c>
      <c r="I207" s="18">
        <v>126820.64</v>
      </c>
      <c r="J207" s="18">
        <v>5589.29</v>
      </c>
      <c r="K207" s="18"/>
      <c r="L207" s="19">
        <f t="shared" si="0"/>
        <v>565733.12</v>
      </c>
      <c r="M207" s="8"/>
      <c r="N207" s="271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285839.75</v>
      </c>
      <c r="I208" s="18">
        <v>4552.6099999999997</v>
      </c>
      <c r="J208" s="18"/>
      <c r="K208" s="18"/>
      <c r="L208" s="19">
        <f t="shared" si="0"/>
        <v>290392.36</v>
      </c>
      <c r="M208" s="8"/>
      <c r="N208" s="271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1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1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5388294.3899999997</v>
      </c>
      <c r="G211" s="41">
        <f t="shared" si="1"/>
        <v>2800572.27</v>
      </c>
      <c r="H211" s="41">
        <f t="shared" si="1"/>
        <v>3398103.4299999997</v>
      </c>
      <c r="I211" s="41">
        <f t="shared" si="1"/>
        <v>233116.65999999997</v>
      </c>
      <c r="J211" s="41">
        <f t="shared" si="1"/>
        <v>55753.950000000004</v>
      </c>
      <c r="K211" s="41">
        <f t="shared" si="1"/>
        <v>6632.24</v>
      </c>
      <c r="L211" s="41">
        <f t="shared" si="1"/>
        <v>11882472.939999998</v>
      </c>
      <c r="M211" s="8"/>
      <c r="N211" s="271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6" t="s">
        <v>693</v>
      </c>
      <c r="G212" s="176" t="s">
        <v>694</v>
      </c>
      <c r="H212" s="176" t="s">
        <v>695</v>
      </c>
      <c r="I212" s="176" t="s">
        <v>696</v>
      </c>
      <c r="J212" s="176" t="s">
        <v>697</v>
      </c>
      <c r="K212" s="176" t="s">
        <v>698</v>
      </c>
      <c r="L212" s="67"/>
      <c r="M212" s="8"/>
      <c r="N212" s="271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1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1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1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1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1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1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1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1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1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1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1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1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1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115683.78</v>
      </c>
      <c r="I226" s="18">
        <v>3079.06</v>
      </c>
      <c r="J226" s="18"/>
      <c r="K226" s="18"/>
      <c r="L226" s="19">
        <f t="shared" si="2"/>
        <v>118762.84</v>
      </c>
      <c r="M226" s="8"/>
      <c r="N226" s="271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1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1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115683.78</v>
      </c>
      <c r="I229" s="41">
        <f>SUM(I215:I228)</f>
        <v>3079.06</v>
      </c>
      <c r="J229" s="41">
        <f>SUM(J215:J228)</f>
        <v>0</v>
      </c>
      <c r="K229" s="41">
        <f t="shared" si="3"/>
        <v>0</v>
      </c>
      <c r="L229" s="41">
        <f t="shared" si="3"/>
        <v>118762.84</v>
      </c>
      <c r="M229" s="8"/>
      <c r="N229" s="271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6" t="s">
        <v>693</v>
      </c>
      <c r="G230" s="176" t="s">
        <v>694</v>
      </c>
      <c r="H230" s="176" t="s">
        <v>695</v>
      </c>
      <c r="I230" s="176" t="s">
        <v>696</v>
      </c>
      <c r="J230" s="176" t="s">
        <v>697</v>
      </c>
      <c r="K230" s="176" t="s">
        <v>698</v>
      </c>
      <c r="L230" s="67"/>
      <c r="M230" s="8"/>
      <c r="N230" s="271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1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1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1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v>878517.09</v>
      </c>
      <c r="I234" s="18"/>
      <c r="J234" s="18"/>
      <c r="K234" s="18"/>
      <c r="L234" s="19">
        <f>SUM(F234:K234)</f>
        <v>878517.09</v>
      </c>
      <c r="M234" s="8"/>
      <c r="N234" s="271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1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1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1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1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1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1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1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1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1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150188.07</v>
      </c>
      <c r="I244" s="18">
        <v>3997.44</v>
      </c>
      <c r="J244" s="18"/>
      <c r="K244" s="18"/>
      <c r="L244" s="19">
        <f t="shared" si="4"/>
        <v>154185.51</v>
      </c>
      <c r="M244" s="8"/>
      <c r="N244" s="271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1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1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1028705.1599999999</v>
      </c>
      <c r="I247" s="41">
        <f t="shared" si="5"/>
        <v>3997.44</v>
      </c>
      <c r="J247" s="41">
        <f t="shared" si="5"/>
        <v>0</v>
      </c>
      <c r="K247" s="41">
        <f t="shared" si="5"/>
        <v>0</v>
      </c>
      <c r="L247" s="41">
        <f t="shared" si="5"/>
        <v>1032702.6</v>
      </c>
      <c r="M247" s="8"/>
      <c r="N247" s="271"/>
    </row>
    <row r="248" spans="1:14" s="3" customFormat="1" ht="12" customHeight="1" x14ac:dyDescent="0.15">
      <c r="A248" s="70"/>
      <c r="B248" s="36"/>
      <c r="C248" s="37"/>
      <c r="D248" s="37"/>
      <c r="E248" s="37"/>
      <c r="F248" s="176" t="s">
        <v>693</v>
      </c>
      <c r="G248" s="176" t="s">
        <v>694</v>
      </c>
      <c r="H248" s="176" t="s">
        <v>695</v>
      </c>
      <c r="I248" s="176" t="s">
        <v>696</v>
      </c>
      <c r="J248" s="176" t="s">
        <v>697</v>
      </c>
      <c r="K248" s="176" t="s">
        <v>698</v>
      </c>
      <c r="L248" s="67"/>
      <c r="M248" s="8"/>
      <c r="N248" s="271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1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1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1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1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1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1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29165.88</v>
      </c>
      <c r="I255" s="18"/>
      <c r="J255" s="18"/>
      <c r="K255" s="18"/>
      <c r="L255" s="19">
        <f t="shared" si="6"/>
        <v>29165.88</v>
      </c>
      <c r="M255" s="8"/>
      <c r="N255" s="271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29165.88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29165.88</v>
      </c>
      <c r="M256" s="8"/>
      <c r="N256" s="271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5388294.3899999997</v>
      </c>
      <c r="G257" s="41">
        <f t="shared" si="8"/>
        <v>2800572.27</v>
      </c>
      <c r="H257" s="41">
        <f t="shared" si="8"/>
        <v>4571658.2499999991</v>
      </c>
      <c r="I257" s="41">
        <f t="shared" si="8"/>
        <v>240193.15999999997</v>
      </c>
      <c r="J257" s="41">
        <f t="shared" si="8"/>
        <v>55753.950000000004</v>
      </c>
      <c r="K257" s="41">
        <f t="shared" si="8"/>
        <v>6632.24</v>
      </c>
      <c r="L257" s="41">
        <f t="shared" si="8"/>
        <v>13063104.259999998</v>
      </c>
      <c r="M257" s="8"/>
      <c r="N257" s="271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1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1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136000</v>
      </c>
      <c r="L260" s="19">
        <f>SUM(F260:K260)</f>
        <v>136000</v>
      </c>
      <c r="M260" s="8"/>
      <c r="N260" s="271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255022</v>
      </c>
      <c r="L261" s="19">
        <f>SUM(F261:K261)</f>
        <v>255022</v>
      </c>
      <c r="N261" s="269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9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12497.25</v>
      </c>
      <c r="L263" s="19">
        <f>SUM(F263:K263)</f>
        <v>12497.25</v>
      </c>
      <c r="N263" s="269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69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69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85000</v>
      </c>
      <c r="L266" s="19">
        <f t="shared" si="9"/>
        <v>85000</v>
      </c>
      <c r="N266" s="269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9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69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69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488519.25</v>
      </c>
      <c r="L270" s="41">
        <f t="shared" si="9"/>
        <v>488519.25</v>
      </c>
      <c r="N270" s="269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5388294.3899999997</v>
      </c>
      <c r="G271" s="42">
        <f t="shared" si="11"/>
        <v>2800572.27</v>
      </c>
      <c r="H271" s="42">
        <f t="shared" si="11"/>
        <v>4571658.2499999991</v>
      </c>
      <c r="I271" s="42">
        <f t="shared" si="11"/>
        <v>240193.15999999997</v>
      </c>
      <c r="J271" s="42">
        <f t="shared" si="11"/>
        <v>55753.950000000004</v>
      </c>
      <c r="K271" s="42">
        <f t="shared" si="11"/>
        <v>495151.49</v>
      </c>
      <c r="L271" s="42">
        <f t="shared" si="11"/>
        <v>13551623.509999998</v>
      </c>
      <c r="M271" s="8"/>
      <c r="N271" s="271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1"/>
    </row>
    <row r="273" spans="1:14" s="3" customFormat="1" ht="12" customHeight="1" x14ac:dyDescent="0.15">
      <c r="A273" s="29" t="s">
        <v>467</v>
      </c>
      <c r="F273" s="176" t="s">
        <v>693</v>
      </c>
      <c r="G273" s="176" t="s">
        <v>694</v>
      </c>
      <c r="H273" s="176" t="s">
        <v>695</v>
      </c>
      <c r="I273" s="176" t="s">
        <v>696</v>
      </c>
      <c r="J273" s="176" t="s">
        <v>697</v>
      </c>
      <c r="K273" s="176" t="s">
        <v>698</v>
      </c>
      <c r="M273" s="8"/>
      <c r="N273" s="271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1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1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3579.48+90669.6+5069</f>
        <v>99318.080000000002</v>
      </c>
      <c r="G276" s="18">
        <v>400</v>
      </c>
      <c r="H276" s="18"/>
      <c r="I276" s="18"/>
      <c r="J276" s="18"/>
      <c r="K276" s="18"/>
      <c r="L276" s="19">
        <f>SUM(F276:K276)</f>
        <v>99718.080000000002</v>
      </c>
      <c r="M276" s="8"/>
      <c r="N276" s="271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1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1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1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1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1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1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1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1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1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1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1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1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1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99318.080000000002</v>
      </c>
      <c r="G290" s="42">
        <f t="shared" si="13"/>
        <v>400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99718.080000000002</v>
      </c>
      <c r="M290" s="8"/>
      <c r="N290" s="271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1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6" t="s">
        <v>693</v>
      </c>
      <c r="G292" s="176" t="s">
        <v>694</v>
      </c>
      <c r="H292" s="176" t="s">
        <v>695</v>
      </c>
      <c r="I292" s="176" t="s">
        <v>696</v>
      </c>
      <c r="J292" s="176" t="s">
        <v>697</v>
      </c>
      <c r="K292" s="176" t="s">
        <v>698</v>
      </c>
      <c r="L292" s="17"/>
      <c r="M292" s="8"/>
      <c r="N292" s="271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1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1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1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1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1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1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1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1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1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1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1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1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1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1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1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1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69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1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6" t="s">
        <v>693</v>
      </c>
      <c r="G311" s="176" t="s">
        <v>694</v>
      </c>
      <c r="H311" s="176" t="s">
        <v>695</v>
      </c>
      <c r="I311" s="176" t="s">
        <v>696</v>
      </c>
      <c r="J311" s="176" t="s">
        <v>697</v>
      </c>
      <c r="K311" s="176" t="s">
        <v>698</v>
      </c>
      <c r="L311" s="20"/>
      <c r="M311" s="8"/>
      <c r="N311" s="271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1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1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1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1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1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1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1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1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1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1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1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1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1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1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1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1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1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1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6" t="s">
        <v>693</v>
      </c>
      <c r="G330" s="176" t="s">
        <v>694</v>
      </c>
      <c r="H330" s="176" t="s">
        <v>695</v>
      </c>
      <c r="I330" s="176" t="s">
        <v>696</v>
      </c>
      <c r="J330" s="176" t="s">
        <v>697</v>
      </c>
      <c r="K330" s="176" t="s">
        <v>698</v>
      </c>
      <c r="L330" s="19"/>
      <c r="M330" s="8"/>
      <c r="N330" s="271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1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1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1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1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1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1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1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99318.080000000002</v>
      </c>
      <c r="G338" s="41">
        <f t="shared" si="20"/>
        <v>400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99718.080000000002</v>
      </c>
      <c r="M338" s="8"/>
      <c r="N338" s="271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1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1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1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1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0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1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1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1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1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1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1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1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1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99318.080000000002</v>
      </c>
      <c r="G352" s="41">
        <f>G338</f>
        <v>400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99718.080000000002</v>
      </c>
      <c r="M352" s="52"/>
      <c r="N352" s="270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1"/>
    </row>
    <row r="354" spans="1:22" s="3" customFormat="1" ht="12" customHeight="1" x14ac:dyDescent="0.2">
      <c r="A354" s="54"/>
      <c r="B354" s="52"/>
      <c r="C354" s="52"/>
      <c r="D354" s="52"/>
      <c r="E354" s="52"/>
      <c r="F354" s="176" t="s">
        <v>693</v>
      </c>
      <c r="G354" s="176" t="s">
        <v>694</v>
      </c>
      <c r="H354" s="176" t="s">
        <v>695</v>
      </c>
      <c r="I354" s="176" t="s">
        <v>696</v>
      </c>
      <c r="J354" s="176" t="s">
        <v>697</v>
      </c>
      <c r="K354" s="176" t="s">
        <v>698</v>
      </c>
      <c r="L354" s="53"/>
      <c r="M354" s="8"/>
      <c r="N354" s="271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1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1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1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44174.07+35501.86</f>
        <v>79675.929999999993</v>
      </c>
      <c r="G358" s="18">
        <f>6508.83+138.39+3965.65+5925.45</f>
        <v>16538.32</v>
      </c>
      <c r="H358" s="18">
        <f>7082.2+116.3</f>
        <v>7198.5</v>
      </c>
      <c r="I358" s="18">
        <f>81921.15+7973.26</f>
        <v>89894.409999999989</v>
      </c>
      <c r="J358" s="18"/>
      <c r="K358" s="18"/>
      <c r="L358" s="13">
        <f>SUM(F358:K358)</f>
        <v>193307.15999999997</v>
      </c>
      <c r="N358" s="269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1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1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1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79675.929999999993</v>
      </c>
      <c r="G362" s="47">
        <f t="shared" si="22"/>
        <v>16538.32</v>
      </c>
      <c r="H362" s="47">
        <f t="shared" si="22"/>
        <v>7198.5</v>
      </c>
      <c r="I362" s="47">
        <f t="shared" si="22"/>
        <v>89894.409999999989</v>
      </c>
      <c r="J362" s="47">
        <f t="shared" si="22"/>
        <v>0</v>
      </c>
      <c r="K362" s="47">
        <f t="shared" si="22"/>
        <v>0</v>
      </c>
      <c r="L362" s="47">
        <f t="shared" si="22"/>
        <v>193307.15999999997</v>
      </c>
      <c r="M362" s="8"/>
      <c r="N362" s="271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1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1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1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1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89894.41</v>
      </c>
      <c r="G367" s="18"/>
      <c r="H367" s="18"/>
      <c r="I367" s="56">
        <f>SUM(F367:H367)</f>
        <v>89894.41</v>
      </c>
      <c r="J367" s="24" t="s">
        <v>289</v>
      </c>
      <c r="K367" s="24" t="s">
        <v>289</v>
      </c>
      <c r="L367" s="24" t="s">
        <v>289</v>
      </c>
      <c r="M367" s="8"/>
      <c r="N367" s="271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1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89894.41</v>
      </c>
      <c r="G369" s="47">
        <f>SUM(G367:G368)</f>
        <v>0</v>
      </c>
      <c r="H369" s="47">
        <f>SUM(H367:H368)</f>
        <v>0</v>
      </c>
      <c r="I369" s="47">
        <f>SUM(I367:I368)</f>
        <v>89894.41</v>
      </c>
      <c r="J369" s="24" t="s">
        <v>289</v>
      </c>
      <c r="K369" s="24" t="s">
        <v>289</v>
      </c>
      <c r="L369" s="24" t="s">
        <v>289</v>
      </c>
      <c r="M369" s="8"/>
      <c r="N369" s="271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1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6" t="s">
        <v>693</v>
      </c>
      <c r="G371" s="176" t="s">
        <v>694</v>
      </c>
      <c r="H371" s="176" t="s">
        <v>695</v>
      </c>
      <c r="I371" s="176" t="s">
        <v>696</v>
      </c>
      <c r="J371" s="176" t="s">
        <v>697</v>
      </c>
      <c r="K371" s="176" t="s">
        <v>698</v>
      </c>
      <c r="L371" s="13"/>
      <c r="M371" s="8"/>
      <c r="N371" s="271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1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1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1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>
        <v>1230119.58</v>
      </c>
      <c r="I375" s="18"/>
      <c r="J375" s="18"/>
      <c r="K375" s="18"/>
      <c r="L375" s="13">
        <f t="shared" ref="L375:L381" si="23">SUM(F375:K375)</f>
        <v>1230119.58</v>
      </c>
      <c r="M375" s="8"/>
      <c r="N375" s="271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1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1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1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80880.15-6617.11</f>
        <v>74263.039999999994</v>
      </c>
      <c r="I379" s="18"/>
      <c r="J379" s="18">
        <v>6617.11</v>
      </c>
      <c r="K379" s="18"/>
      <c r="L379" s="13">
        <f t="shared" si="23"/>
        <v>80880.149999999994</v>
      </c>
      <c r="M379" s="8"/>
      <c r="N379" s="271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1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1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1304382.6200000001</v>
      </c>
      <c r="I382" s="41">
        <f t="shared" si="24"/>
        <v>0</v>
      </c>
      <c r="J382" s="47">
        <f t="shared" si="24"/>
        <v>6617.11</v>
      </c>
      <c r="K382" s="47">
        <f t="shared" si="24"/>
        <v>0</v>
      </c>
      <c r="L382" s="47">
        <f t="shared" si="24"/>
        <v>1310999.73</v>
      </c>
      <c r="M382" s="8"/>
      <c r="N382" s="271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1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1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1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1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1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1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1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1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1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1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1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1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1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352.33</v>
      </c>
      <c r="I396" s="18"/>
      <c r="J396" s="24" t="s">
        <v>289</v>
      </c>
      <c r="K396" s="24" t="s">
        <v>289</v>
      </c>
      <c r="L396" s="56">
        <f t="shared" si="26"/>
        <v>25352.33</v>
      </c>
      <c r="M396" s="8"/>
      <c r="N396" s="271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60000</v>
      </c>
      <c r="H397" s="18">
        <v>413.59</v>
      </c>
      <c r="I397" s="18"/>
      <c r="J397" s="24" t="s">
        <v>289</v>
      </c>
      <c r="K397" s="24" t="s">
        <v>289</v>
      </c>
      <c r="L397" s="56">
        <f t="shared" si="26"/>
        <v>60413.59</v>
      </c>
      <c r="M397" s="8"/>
      <c r="N397" s="271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1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1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4912</v>
      </c>
      <c r="I400" s="18"/>
      <c r="J400" s="24" t="s">
        <v>289</v>
      </c>
      <c r="K400" s="24" t="s">
        <v>289</v>
      </c>
      <c r="L400" s="56">
        <f t="shared" si="26"/>
        <v>4912</v>
      </c>
      <c r="M400" s="8"/>
      <c r="N400" s="271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85000</v>
      </c>
      <c r="H401" s="47">
        <f>SUM(H395:H400)</f>
        <v>5677.92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90677.92</v>
      </c>
      <c r="M401" s="8"/>
      <c r="N401" s="271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1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1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1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1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1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1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85000</v>
      </c>
      <c r="H408" s="47">
        <f>H393+H401+H407</f>
        <v>5677.92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90677.92</v>
      </c>
      <c r="M408" s="8"/>
      <c r="N408" s="271"/>
    </row>
    <row r="409" spans="1:21" s="3" customFormat="1" ht="12" customHeight="1" x14ac:dyDescent="0.15">
      <c r="A409" s="78"/>
      <c r="B409" s="2"/>
      <c r="C409" s="6"/>
      <c r="D409" s="6"/>
      <c r="E409" s="6"/>
      <c r="F409" s="176" t="s">
        <v>693</v>
      </c>
      <c r="G409" s="176" t="s">
        <v>694</v>
      </c>
      <c r="H409" s="176" t="s">
        <v>695</v>
      </c>
      <c r="I409" s="176" t="s">
        <v>696</v>
      </c>
      <c r="J409" s="176" t="s">
        <v>697</v>
      </c>
      <c r="K409" s="176" t="s">
        <v>698</v>
      </c>
      <c r="L409" s="56"/>
      <c r="M409" s="8"/>
      <c r="N409" s="271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1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1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1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1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0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6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1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1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>
        <v>48213</v>
      </c>
      <c r="L418" s="56">
        <f t="shared" si="27"/>
        <v>48213</v>
      </c>
      <c r="M418" s="8"/>
      <c r="N418" s="271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48213</v>
      </c>
      <c r="L419" s="47">
        <f t="shared" si="28"/>
        <v>48213</v>
      </c>
      <c r="M419" s="8"/>
      <c r="N419" s="271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1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1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1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>
        <v>100000</v>
      </c>
      <c r="L423" s="56">
        <f t="shared" si="29"/>
        <v>100000</v>
      </c>
      <c r="M423" s="8"/>
      <c r="N423" s="271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1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1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1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100000</v>
      </c>
      <c r="L427" s="47">
        <f t="shared" si="30"/>
        <v>100000</v>
      </c>
      <c r="M427" s="8"/>
      <c r="N427" s="271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6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6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6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69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1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1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148213</v>
      </c>
      <c r="L434" s="47">
        <f t="shared" si="32"/>
        <v>148213</v>
      </c>
      <c r="M434" s="8"/>
      <c r="N434" s="271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1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1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1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1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186451.87</v>
      </c>
      <c r="G439" s="18">
        <v>1286968</v>
      </c>
      <c r="H439" s="18"/>
      <c r="I439" s="56">
        <f t="shared" ref="I439:I445" si="33">SUM(F439:H439)</f>
        <v>1473419.87</v>
      </c>
      <c r="J439" s="24" t="s">
        <v>289</v>
      </c>
      <c r="K439" s="24" t="s">
        <v>289</v>
      </c>
      <c r="L439" s="24" t="s">
        <v>289</v>
      </c>
      <c r="M439" s="8"/>
      <c r="N439" s="271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1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1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1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1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1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1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186451.87</v>
      </c>
      <c r="G446" s="13">
        <f>SUM(G439:G445)</f>
        <v>1286968</v>
      </c>
      <c r="H446" s="13">
        <f>SUM(H439:H445)</f>
        <v>0</v>
      </c>
      <c r="I446" s="13">
        <f>SUM(I439:I445)</f>
        <v>1473419.87</v>
      </c>
      <c r="J446" s="24" t="s">
        <v>289</v>
      </c>
      <c r="K446" s="24" t="s">
        <v>289</v>
      </c>
      <c r="L446" s="24" t="s">
        <v>289</v>
      </c>
      <c r="M446" s="8"/>
      <c r="N446" s="271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1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1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1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1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1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1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1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1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1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1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6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0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186451.87</v>
      </c>
      <c r="G459" s="18">
        <v>1286968</v>
      </c>
      <c r="H459" s="18"/>
      <c r="I459" s="56">
        <f t="shared" si="34"/>
        <v>1473419.87</v>
      </c>
      <c r="J459" s="24" t="s">
        <v>289</v>
      </c>
      <c r="K459" s="24" t="s">
        <v>289</v>
      </c>
      <c r="L459" s="24" t="s">
        <v>289</v>
      </c>
      <c r="M459" s="52"/>
      <c r="N459" s="270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186451.87</v>
      </c>
      <c r="G460" s="83">
        <f>SUM(G454:G459)</f>
        <v>1286968</v>
      </c>
      <c r="H460" s="83">
        <f>SUM(H454:H459)</f>
        <v>0</v>
      </c>
      <c r="I460" s="83">
        <f>SUM(I454:I459)</f>
        <v>1473419.87</v>
      </c>
      <c r="J460" s="24" t="s">
        <v>289</v>
      </c>
      <c r="K460" s="24" t="s">
        <v>289</v>
      </c>
      <c r="L460" s="24" t="s">
        <v>289</v>
      </c>
      <c r="N460" s="270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186451.87</v>
      </c>
      <c r="G461" s="42">
        <f>G452+G460</f>
        <v>1286968</v>
      </c>
      <c r="H461" s="42">
        <f>H452+H460</f>
        <v>0</v>
      </c>
      <c r="I461" s="42">
        <f>I452+I460</f>
        <v>1473419.87</v>
      </c>
      <c r="J461" s="24" t="s">
        <v>289</v>
      </c>
      <c r="K461" s="24" t="s">
        <v>289</v>
      </c>
      <c r="L461" s="24" t="s">
        <v>289</v>
      </c>
      <c r="N461" s="270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0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0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0"/>
    </row>
    <row r="465" spans="1:14" s="52" customFormat="1" ht="12" customHeight="1" x14ac:dyDescent="0.2">
      <c r="A465" s="188" t="s">
        <v>907</v>
      </c>
      <c r="B465" s="105">
        <v>19</v>
      </c>
      <c r="C465" s="111">
        <v>1</v>
      </c>
      <c r="D465" s="2" t="s">
        <v>433</v>
      </c>
      <c r="E465" s="111"/>
      <c r="F465" s="18">
        <v>-335711.43</v>
      </c>
      <c r="G465" s="18">
        <v>81.78</v>
      </c>
      <c r="H465" s="18">
        <v>0</v>
      </c>
      <c r="I465" s="18">
        <v>1178073.1499999999</v>
      </c>
      <c r="J465" s="18">
        <v>1530954.95</v>
      </c>
      <c r="K465" s="24" t="s">
        <v>289</v>
      </c>
      <c r="L465" s="24" t="s">
        <v>289</v>
      </c>
      <c r="N465" s="270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0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0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13871962.52</v>
      </c>
      <c r="G468" s="18">
        <v>177380.05</v>
      </c>
      <c r="H468" s="18">
        <v>99718.080000000002</v>
      </c>
      <c r="I468" s="18">
        <v>87625</v>
      </c>
      <c r="J468" s="18">
        <f>85000+5677.92</f>
        <v>90677.92</v>
      </c>
      <c r="K468" s="24" t="s">
        <v>289</v>
      </c>
      <c r="L468" s="24" t="s">
        <v>289</v>
      </c>
      <c r="N468" s="270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v>35681.17</v>
      </c>
      <c r="G469" s="18">
        <v>6526.7</v>
      </c>
      <c r="H469" s="18">
        <v>63753.23</v>
      </c>
      <c r="I469" s="18"/>
      <c r="J469" s="18"/>
      <c r="K469" s="24" t="s">
        <v>289</v>
      </c>
      <c r="L469" s="24" t="s">
        <v>289</v>
      </c>
      <c r="N469" s="270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13907643.689999999</v>
      </c>
      <c r="G470" s="53">
        <f>SUM(G468:G469)</f>
        <v>183906.75</v>
      </c>
      <c r="H470" s="53">
        <f>SUM(H468:H469)</f>
        <v>163471.31</v>
      </c>
      <c r="I470" s="53">
        <f>SUM(I468:I469)</f>
        <v>87625</v>
      </c>
      <c r="J470" s="53">
        <f>SUM(J468:J469)</f>
        <v>90677.92</v>
      </c>
      <c r="K470" s="24" t="s">
        <v>289</v>
      </c>
      <c r="L470" s="24" t="s">
        <v>289</v>
      </c>
      <c r="N470" s="270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0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13551623.51</v>
      </c>
      <c r="G472" s="18">
        <v>193307.16</v>
      </c>
      <c r="H472" s="18">
        <v>99718.080000000002</v>
      </c>
      <c r="I472" s="18">
        <v>1310999.73</v>
      </c>
      <c r="J472" s="18">
        <f>140000+8213</f>
        <v>148213</v>
      </c>
      <c r="K472" s="24" t="s">
        <v>289</v>
      </c>
      <c r="L472" s="24" t="s">
        <v>289</v>
      </c>
      <c r="N472" s="270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0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13551623.51</v>
      </c>
      <c r="G474" s="53">
        <f>SUM(G472:G473)</f>
        <v>193307.16</v>
      </c>
      <c r="H474" s="53">
        <f>SUM(H472:H473)</f>
        <v>99718.080000000002</v>
      </c>
      <c r="I474" s="53">
        <f>SUM(I472:I473)</f>
        <v>1310999.73</v>
      </c>
      <c r="J474" s="53">
        <f>SUM(J472:J473)</f>
        <v>148213</v>
      </c>
      <c r="K474" s="24" t="s">
        <v>289</v>
      </c>
      <c r="L474" s="24" t="s">
        <v>289</v>
      </c>
      <c r="N474" s="270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0"/>
    </row>
    <row r="476" spans="1:14" s="52" customFormat="1" ht="12" customHeight="1" x14ac:dyDescent="0.2">
      <c r="A476" s="189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20308.75</v>
      </c>
      <c r="G476" s="53">
        <f>(G465+G470)- G474</f>
        <v>-9318.6300000000047</v>
      </c>
      <c r="H476" s="53">
        <f>(H465+H470)- H474</f>
        <v>63753.229999999996</v>
      </c>
      <c r="I476" s="53">
        <f>(I465+I470)- I474</f>
        <v>-45301.580000000075</v>
      </c>
      <c r="J476" s="53">
        <f>(J465+J470)- J474</f>
        <v>1473419.8699999999</v>
      </c>
      <c r="K476" s="24" t="s">
        <v>289</v>
      </c>
      <c r="L476" s="24" t="s">
        <v>289</v>
      </c>
      <c r="N476" s="270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0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0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0"/>
    </row>
    <row r="480" spans="1:14" s="52" customFormat="1" ht="12" customHeight="1" x14ac:dyDescent="0.2">
      <c r="A480" s="18" t="s">
        <v>913</v>
      </c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0"/>
    </row>
    <row r="481" spans="1:14" s="52" customFormat="1" ht="12" customHeight="1" x14ac:dyDescent="0.2">
      <c r="A481" s="274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0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0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0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0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0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0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0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0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0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0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915</v>
      </c>
      <c r="G491" s="155"/>
      <c r="H491" s="154"/>
      <c r="I491" s="154"/>
      <c r="J491" s="154"/>
      <c r="K491" s="24" t="s">
        <v>289</v>
      </c>
      <c r="L491" s="24" t="s">
        <v>289</v>
      </c>
      <c r="N491" s="270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916</v>
      </c>
      <c r="G492" s="155"/>
      <c r="H492" s="154"/>
      <c r="I492" s="154"/>
      <c r="J492" s="154"/>
      <c r="K492" s="24" t="s">
        <v>289</v>
      </c>
      <c r="L492" s="24" t="s">
        <v>289</v>
      </c>
      <c r="N492" s="270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5798000</v>
      </c>
      <c r="G493" s="18"/>
      <c r="H493" s="18"/>
      <c r="I493" s="18"/>
      <c r="J493" s="18"/>
      <c r="K493" s="24" t="s">
        <v>289</v>
      </c>
      <c r="L493" s="24" t="s">
        <v>289</v>
      </c>
      <c r="N493" s="270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3.04</v>
      </c>
      <c r="G494" s="18"/>
      <c r="H494" s="18"/>
      <c r="I494" s="18"/>
      <c r="J494" s="18"/>
      <c r="K494" s="24" t="s">
        <v>289</v>
      </c>
      <c r="L494" s="24" t="s">
        <v>289</v>
      </c>
      <c r="N494" s="270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0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5798000</v>
      </c>
      <c r="G496" s="18"/>
      <c r="H496" s="18"/>
      <c r="I496" s="18"/>
      <c r="J496" s="18"/>
      <c r="K496" s="53">
        <f t="shared" ref="K496:K503" si="35">SUM(F496:J496)</f>
        <v>5798000</v>
      </c>
      <c r="L496" s="24" t="s">
        <v>289</v>
      </c>
      <c r="N496" s="270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136000</v>
      </c>
      <c r="G497" s="18"/>
      <c r="H497" s="18"/>
      <c r="I497" s="18"/>
      <c r="J497" s="18"/>
      <c r="K497" s="53">
        <f t="shared" si="35"/>
        <v>136000</v>
      </c>
      <c r="L497" s="24" t="s">
        <v>289</v>
      </c>
      <c r="N497" s="270"/>
    </row>
    <row r="498" spans="1:14" s="52" customFormat="1" ht="12" customHeight="1" x14ac:dyDescent="0.2">
      <c r="A498" s="199" t="s">
        <v>626</v>
      </c>
      <c r="B498" s="200">
        <v>20</v>
      </c>
      <c r="C498" s="201">
        <v>9</v>
      </c>
      <c r="D498" s="202" t="s">
        <v>433</v>
      </c>
      <c r="E498" s="201"/>
      <c r="F498" s="203">
        <f>F496-F497</f>
        <v>5662000</v>
      </c>
      <c r="G498" s="203"/>
      <c r="H498" s="203"/>
      <c r="I498" s="203"/>
      <c r="J498" s="203"/>
      <c r="K498" s="204">
        <f t="shared" si="35"/>
        <v>5662000</v>
      </c>
      <c r="L498" s="205" t="s">
        <v>289</v>
      </c>
      <c r="N498" s="270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2454458.42-255022</f>
        <v>2199436.42</v>
      </c>
      <c r="G499" s="18"/>
      <c r="H499" s="18"/>
      <c r="I499" s="18"/>
      <c r="J499" s="18"/>
      <c r="K499" s="53">
        <f t="shared" si="35"/>
        <v>2199436.42</v>
      </c>
      <c r="L499" s="24" t="s">
        <v>289</v>
      </c>
      <c r="N499" s="270"/>
    </row>
    <row r="500" spans="1:14" s="52" customFormat="1" ht="12" customHeight="1" thickTop="1" x14ac:dyDescent="0.2">
      <c r="A500" s="139" t="s">
        <v>628</v>
      </c>
      <c r="B500" s="44">
        <v>20</v>
      </c>
      <c r="C500" s="194">
        <v>11</v>
      </c>
      <c r="D500" s="39" t="s">
        <v>433</v>
      </c>
      <c r="E500" s="194"/>
      <c r="F500" s="42">
        <f>SUM(F498:F499)</f>
        <v>7861436.4199999999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7861436.4199999999</v>
      </c>
      <c r="L500" s="45" t="s">
        <v>289</v>
      </c>
      <c r="N500" s="270"/>
    </row>
    <row r="501" spans="1:14" s="52" customFormat="1" ht="12" customHeight="1" x14ac:dyDescent="0.2">
      <c r="A501" s="199" t="s">
        <v>655</v>
      </c>
      <c r="B501" s="200">
        <v>20</v>
      </c>
      <c r="C501" s="201">
        <v>12</v>
      </c>
      <c r="D501" s="202" t="s">
        <v>433</v>
      </c>
      <c r="E501" s="201"/>
      <c r="F501" s="203">
        <v>180000</v>
      </c>
      <c r="G501" s="203"/>
      <c r="H501" s="203"/>
      <c r="I501" s="203"/>
      <c r="J501" s="203"/>
      <c r="K501" s="204">
        <f t="shared" si="35"/>
        <v>180000</v>
      </c>
      <c r="L501" s="205" t="s">
        <v>289</v>
      </c>
      <c r="N501" s="270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215899</v>
      </c>
      <c r="G502" s="18"/>
      <c r="H502" s="18"/>
      <c r="I502" s="18"/>
      <c r="J502" s="18"/>
      <c r="K502" s="53">
        <f t="shared" si="35"/>
        <v>215899</v>
      </c>
      <c r="L502" s="24" t="s">
        <v>289</v>
      </c>
      <c r="N502" s="270"/>
    </row>
    <row r="503" spans="1:14" s="52" customFormat="1" ht="12" customHeight="1" thickTop="1" x14ac:dyDescent="0.2">
      <c r="A503" s="139" t="s">
        <v>630</v>
      </c>
      <c r="B503" s="44">
        <v>20</v>
      </c>
      <c r="C503" s="194">
        <v>14</v>
      </c>
      <c r="D503" s="39" t="s">
        <v>433</v>
      </c>
      <c r="E503" s="194"/>
      <c r="F503" s="42">
        <f>SUM(F501:F502)</f>
        <v>395899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395899</v>
      </c>
      <c r="L503" s="45" t="s">
        <v>289</v>
      </c>
      <c r="N503" s="270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0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0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0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0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0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0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0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0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0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0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0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0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0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0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6" t="s">
        <v>693</v>
      </c>
      <c r="G518" s="176" t="s">
        <v>694</v>
      </c>
      <c r="H518" s="176" t="s">
        <v>695</v>
      </c>
      <c r="I518" s="176" t="s">
        <v>696</v>
      </c>
      <c r="J518" s="176" t="s">
        <v>697</v>
      </c>
      <c r="K518" s="176" t="s">
        <v>698</v>
      </c>
      <c r="L518" s="106"/>
      <c r="N518" s="270"/>
    </row>
    <row r="519" spans="1:14" s="52" customFormat="1" ht="12" customHeight="1" x14ac:dyDescent="0.2">
      <c r="A519" s="177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0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0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1685538.7</v>
      </c>
      <c r="G521" s="18">
        <v>769424.84</v>
      </c>
      <c r="H521" s="18">
        <f>113652.49+1700</f>
        <v>115352.49</v>
      </c>
      <c r="I521" s="18">
        <v>8164.69</v>
      </c>
      <c r="J521" s="18">
        <v>5266.23</v>
      </c>
      <c r="K521" s="18">
        <v>475.4</v>
      </c>
      <c r="L521" s="88">
        <f>SUM(F521:K521)</f>
        <v>2584222.35</v>
      </c>
      <c r="N521" s="270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0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874000</v>
      </c>
      <c r="I523" s="18"/>
      <c r="J523" s="18"/>
      <c r="K523" s="18"/>
      <c r="L523" s="88">
        <f>SUM(F523:K523)</f>
        <v>874000</v>
      </c>
      <c r="N523" s="270"/>
    </row>
    <row r="524" spans="1:14" s="52" customFormat="1" ht="12" customHeight="1" thickTop="1" x14ac:dyDescent="0.2">
      <c r="A524" s="139" t="s">
        <v>63</v>
      </c>
      <c r="B524" s="107">
        <v>21</v>
      </c>
      <c r="C524" s="194">
        <v>4</v>
      </c>
      <c r="D524" s="195" t="s">
        <v>433</v>
      </c>
      <c r="E524" s="194"/>
      <c r="F524" s="108">
        <f>SUM(F521:F523)</f>
        <v>1685538.7</v>
      </c>
      <c r="G524" s="108">
        <f t="shared" ref="G524:L524" si="36">SUM(G521:G523)</f>
        <v>769424.84</v>
      </c>
      <c r="H524" s="108">
        <f t="shared" si="36"/>
        <v>989352.49</v>
      </c>
      <c r="I524" s="108">
        <f t="shared" si="36"/>
        <v>8164.69</v>
      </c>
      <c r="J524" s="108">
        <f t="shared" si="36"/>
        <v>5266.23</v>
      </c>
      <c r="K524" s="108">
        <f t="shared" si="36"/>
        <v>475.4</v>
      </c>
      <c r="L524" s="89">
        <f t="shared" si="36"/>
        <v>3458222.35</v>
      </c>
      <c r="N524" s="270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0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213888.29</v>
      </c>
      <c r="I526" s="18"/>
      <c r="J526" s="18"/>
      <c r="K526" s="18"/>
      <c r="L526" s="88">
        <f>SUM(F526:K526)</f>
        <v>213888.29</v>
      </c>
      <c r="M526" s="8"/>
      <c r="N526" s="271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1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1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213888.29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213888.29</v>
      </c>
      <c r="M529" s="8"/>
      <c r="N529" s="271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1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34653</v>
      </c>
      <c r="G531" s="18">
        <v>12923</v>
      </c>
      <c r="H531" s="18">
        <v>1145</v>
      </c>
      <c r="I531" s="18"/>
      <c r="J531" s="18"/>
      <c r="K531" s="18"/>
      <c r="L531" s="88">
        <f>SUM(F531:K531)</f>
        <v>48721</v>
      </c>
      <c r="M531" s="8"/>
      <c r="N531" s="271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1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1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34653</v>
      </c>
      <c r="G534" s="89">
        <f t="shared" ref="G534:L534" si="38">SUM(G531:G533)</f>
        <v>12923</v>
      </c>
      <c r="H534" s="89">
        <f t="shared" si="38"/>
        <v>1145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48721</v>
      </c>
      <c r="M534" s="8"/>
      <c r="N534" s="271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3" t="s">
        <v>289</v>
      </c>
      <c r="G535" s="193" t="s">
        <v>289</v>
      </c>
      <c r="H535" s="193" t="s">
        <v>289</v>
      </c>
      <c r="I535" s="193" t="s">
        <v>289</v>
      </c>
      <c r="J535" s="193" t="s">
        <v>289</v>
      </c>
      <c r="K535" s="193" t="s">
        <v>289</v>
      </c>
      <c r="L535" s="193" t="s">
        <v>289</v>
      </c>
      <c r="M535" s="8"/>
      <c r="N535" s="271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3633.66</v>
      </c>
      <c r="I536" s="18"/>
      <c r="J536" s="18"/>
      <c r="K536" s="18"/>
      <c r="L536" s="88">
        <f>SUM(F536:K536)</f>
        <v>3633.66</v>
      </c>
      <c r="M536" s="8"/>
      <c r="N536" s="271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1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1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3633.66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3633.66</v>
      </c>
      <c r="M539" s="8"/>
      <c r="N539" s="271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1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108862.37</v>
      </c>
      <c r="I541" s="18"/>
      <c r="J541" s="18"/>
      <c r="K541" s="18"/>
      <c r="L541" s="88">
        <f>SUM(F541:K541)</f>
        <v>108862.37</v>
      </c>
      <c r="M541" s="8"/>
      <c r="N541" s="271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1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1"/>
    </row>
    <row r="544" spans="1:14" s="3" customFormat="1" ht="12" customHeight="1" thickTop="1" thickBot="1" x14ac:dyDescent="0.2">
      <c r="A544" s="130" t="s">
        <v>71</v>
      </c>
      <c r="B544" s="190">
        <v>21</v>
      </c>
      <c r="C544" s="190">
        <v>20</v>
      </c>
      <c r="D544" s="191" t="s">
        <v>433</v>
      </c>
      <c r="E544" s="190"/>
      <c r="F544" s="192">
        <f>SUM(F541:F543)</f>
        <v>0</v>
      </c>
      <c r="G544" s="192">
        <f t="shared" ref="G544:L544" si="40">SUM(G541:G543)</f>
        <v>0</v>
      </c>
      <c r="H544" s="192">
        <f t="shared" si="40"/>
        <v>108862.37</v>
      </c>
      <c r="I544" s="192">
        <f t="shared" si="40"/>
        <v>0</v>
      </c>
      <c r="J544" s="192">
        <f t="shared" si="40"/>
        <v>0</v>
      </c>
      <c r="K544" s="192">
        <f t="shared" si="40"/>
        <v>0</v>
      </c>
      <c r="L544" s="192">
        <f t="shared" si="40"/>
        <v>108862.37</v>
      </c>
      <c r="M544" s="8"/>
      <c r="N544" s="271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1720191.7</v>
      </c>
      <c r="G545" s="89">
        <f t="shared" ref="G545:L545" si="41">G524+G529+G534+G539+G544</f>
        <v>782347.84</v>
      </c>
      <c r="H545" s="89">
        <f t="shared" si="41"/>
        <v>1316881.81</v>
      </c>
      <c r="I545" s="89">
        <f t="shared" si="41"/>
        <v>8164.69</v>
      </c>
      <c r="J545" s="89">
        <f t="shared" si="41"/>
        <v>5266.23</v>
      </c>
      <c r="K545" s="89">
        <f t="shared" si="41"/>
        <v>475.4</v>
      </c>
      <c r="L545" s="89">
        <f t="shared" si="41"/>
        <v>3833327.6700000004</v>
      </c>
      <c r="M545" s="8"/>
      <c r="N545" s="271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1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1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1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2584222.35</v>
      </c>
      <c r="G549" s="87">
        <f>L526</f>
        <v>213888.29</v>
      </c>
      <c r="H549" s="87">
        <f>L531</f>
        <v>48721</v>
      </c>
      <c r="I549" s="87">
        <f>L536</f>
        <v>3633.66</v>
      </c>
      <c r="J549" s="87">
        <f>L541</f>
        <v>108862.37</v>
      </c>
      <c r="K549" s="87">
        <f>SUM(F549:J549)</f>
        <v>2959327.6700000004</v>
      </c>
      <c r="L549" s="24" t="s">
        <v>289</v>
      </c>
      <c r="M549" s="8"/>
      <c r="N549" s="271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1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874000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874000</v>
      </c>
      <c r="L551" s="24" t="s">
        <v>289</v>
      </c>
      <c r="M551" s="8"/>
      <c r="N551" s="271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3458222.35</v>
      </c>
      <c r="G552" s="89">
        <f t="shared" si="42"/>
        <v>213888.29</v>
      </c>
      <c r="H552" s="89">
        <f t="shared" si="42"/>
        <v>48721</v>
      </c>
      <c r="I552" s="89">
        <f t="shared" si="42"/>
        <v>3633.66</v>
      </c>
      <c r="J552" s="89">
        <f t="shared" si="42"/>
        <v>108862.37</v>
      </c>
      <c r="K552" s="89">
        <f t="shared" si="42"/>
        <v>3833327.6700000004</v>
      </c>
      <c r="L552" s="24"/>
      <c r="M552" s="8"/>
      <c r="N552" s="271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1"/>
    </row>
    <row r="554" spans="1:14" s="3" customFormat="1" ht="12" customHeight="1" x14ac:dyDescent="0.15">
      <c r="B554" s="105"/>
      <c r="C554" s="115"/>
      <c r="D554" s="115"/>
      <c r="E554" s="115"/>
      <c r="F554" s="176" t="s">
        <v>693</v>
      </c>
      <c r="G554" s="176" t="s">
        <v>694</v>
      </c>
      <c r="H554" s="176" t="s">
        <v>695</v>
      </c>
      <c r="I554" s="176" t="s">
        <v>696</v>
      </c>
      <c r="J554" s="176" t="s">
        <v>697</v>
      </c>
      <c r="K554" s="176" t="s">
        <v>698</v>
      </c>
      <c r="L554" s="106"/>
      <c r="M554" s="8"/>
      <c r="N554" s="271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1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1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1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1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1"/>
    </row>
    <row r="560" spans="1:14" s="3" customFormat="1" ht="12" customHeight="1" thickTop="1" x14ac:dyDescent="0.15">
      <c r="A560" s="139" t="s">
        <v>63</v>
      </c>
      <c r="B560" s="107">
        <v>22</v>
      </c>
      <c r="C560" s="194">
        <v>4</v>
      </c>
      <c r="D560" s="195" t="s">
        <v>433</v>
      </c>
      <c r="E560" s="194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1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1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1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1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1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5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1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1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1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1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1"/>
    </row>
    <row r="570" spans="1:14" s="3" customFormat="1" ht="12" customHeight="1" thickTop="1" thickBot="1" x14ac:dyDescent="0.2">
      <c r="A570" s="130" t="s">
        <v>67</v>
      </c>
      <c r="B570" s="190">
        <v>22</v>
      </c>
      <c r="C570" s="190">
        <v>12</v>
      </c>
      <c r="D570" s="196" t="s">
        <v>433</v>
      </c>
      <c r="E570" s="190"/>
      <c r="F570" s="192">
        <f>SUM(F567:F569)</f>
        <v>0</v>
      </c>
      <c r="G570" s="192">
        <f t="shared" ref="G570:L570" si="45">SUM(G567:G569)</f>
        <v>0</v>
      </c>
      <c r="H570" s="192">
        <f t="shared" si="45"/>
        <v>0</v>
      </c>
      <c r="I570" s="192">
        <f t="shared" si="45"/>
        <v>0</v>
      </c>
      <c r="J570" s="192">
        <f t="shared" si="45"/>
        <v>0</v>
      </c>
      <c r="K570" s="192">
        <f t="shared" si="45"/>
        <v>0</v>
      </c>
      <c r="L570" s="192">
        <f t="shared" si="45"/>
        <v>0</v>
      </c>
      <c r="M570" s="8"/>
      <c r="N570" s="271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1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1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1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1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f>2083480+35640</f>
        <v>2119120</v>
      </c>
      <c r="G575" s="18"/>
      <c r="H575" s="18"/>
      <c r="I575" s="87">
        <f>SUM(F575:H575)</f>
        <v>2119120</v>
      </c>
      <c r="J575" s="24" t="s">
        <v>289</v>
      </c>
      <c r="K575" s="24" t="s">
        <v>289</v>
      </c>
      <c r="L575" s="24" t="s">
        <v>289</v>
      </c>
      <c r="M575" s="8"/>
      <c r="N575" s="271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1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1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1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82415.509999999995</v>
      </c>
      <c r="G579" s="18"/>
      <c r="H579" s="18"/>
      <c r="I579" s="87">
        <f t="shared" si="47"/>
        <v>82415.509999999995</v>
      </c>
      <c r="J579" s="24" t="s">
        <v>289</v>
      </c>
      <c r="K579" s="24" t="s">
        <v>289</v>
      </c>
      <c r="L579" s="24" t="s">
        <v>289</v>
      </c>
      <c r="M579" s="8"/>
      <c r="N579" s="271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54198.9</v>
      </c>
      <c r="G580" s="18"/>
      <c r="H580" s="18"/>
      <c r="I580" s="87">
        <f t="shared" si="47"/>
        <v>54198.9</v>
      </c>
      <c r="J580" s="24" t="s">
        <v>289</v>
      </c>
      <c r="K580" s="24" t="s">
        <v>289</v>
      </c>
      <c r="L580" s="24" t="s">
        <v>289</v>
      </c>
      <c r="M580" s="8"/>
      <c r="N580" s="271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1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25894</v>
      </c>
      <c r="G582" s="18"/>
      <c r="H582" s="18">
        <v>824318.19</v>
      </c>
      <c r="I582" s="87">
        <f t="shared" si="47"/>
        <v>850212.19</v>
      </c>
      <c r="J582" s="24" t="s">
        <v>289</v>
      </c>
      <c r="K582" s="24" t="s">
        <v>289</v>
      </c>
      <c r="L582" s="24" t="s">
        <v>289</v>
      </c>
      <c r="M582" s="8"/>
      <c r="N582" s="271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1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1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1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1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1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1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1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1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175599.42</v>
      </c>
      <c r="I591" s="18">
        <v>118762.84</v>
      </c>
      <c r="J591" s="18">
        <v>154185.51</v>
      </c>
      <c r="K591" s="104">
        <f t="shared" ref="K591:K597" si="48">SUM(H591:J591)</f>
        <v>448547.77</v>
      </c>
      <c r="L591" s="24" t="s">
        <v>289</v>
      </c>
      <c r="M591" s="8"/>
      <c r="N591" s="271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108862.37</v>
      </c>
      <c r="I592" s="18"/>
      <c r="J592" s="18"/>
      <c r="K592" s="104">
        <f t="shared" si="48"/>
        <v>108862.37</v>
      </c>
      <c r="L592" s="24" t="s">
        <v>289</v>
      </c>
      <c r="M592" s="8"/>
      <c r="N592" s="271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1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1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5930.57</v>
      </c>
      <c r="I595" s="18"/>
      <c r="J595" s="18"/>
      <c r="K595" s="104">
        <f t="shared" si="48"/>
        <v>5930.57</v>
      </c>
      <c r="L595" s="24" t="s">
        <v>289</v>
      </c>
      <c r="M595" s="8"/>
      <c r="N595" s="271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1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1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290392.36000000004</v>
      </c>
      <c r="I598" s="108">
        <f>SUM(I591:I597)</f>
        <v>118762.84</v>
      </c>
      <c r="J598" s="108">
        <f>SUM(J591:J597)</f>
        <v>154185.51</v>
      </c>
      <c r="K598" s="108">
        <f>SUM(K591:K597)</f>
        <v>563340.71</v>
      </c>
      <c r="L598" s="24" t="s">
        <v>289</v>
      </c>
      <c r="M598" s="8"/>
      <c r="N598" s="271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1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1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1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1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1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55753.95</v>
      </c>
      <c r="I604" s="18"/>
      <c r="J604" s="18"/>
      <c r="K604" s="104">
        <f>SUM(H604:J604)</f>
        <v>55753.95</v>
      </c>
      <c r="L604" s="24" t="s">
        <v>289</v>
      </c>
      <c r="M604" s="8"/>
      <c r="N604" s="271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55753.95</v>
      </c>
      <c r="I605" s="108">
        <f>SUM(I602:I604)</f>
        <v>0</v>
      </c>
      <c r="J605" s="108">
        <f>SUM(J602:J604)</f>
        <v>0</v>
      </c>
      <c r="K605" s="108">
        <f>SUM(K602:K604)</f>
        <v>55753.95</v>
      </c>
      <c r="L605" s="24" t="s">
        <v>289</v>
      </c>
      <c r="M605" s="8"/>
      <c r="N605" s="271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1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1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1"/>
    </row>
    <row r="609" spans="1:14" s="3" customFormat="1" ht="12" customHeight="1" x14ac:dyDescent="0.15">
      <c r="B609" s="105"/>
      <c r="C609" s="105"/>
      <c r="D609" s="105"/>
      <c r="E609" s="105"/>
      <c r="F609" s="176" t="s">
        <v>693</v>
      </c>
      <c r="G609" s="176" t="s">
        <v>694</v>
      </c>
      <c r="H609" s="176" t="s">
        <v>695</v>
      </c>
      <c r="I609" s="176" t="s">
        <v>696</v>
      </c>
      <c r="J609" s="176" t="s">
        <v>697</v>
      </c>
      <c r="K609" s="176" t="s">
        <v>698</v>
      </c>
      <c r="L609" s="88"/>
      <c r="M609" s="8"/>
      <c r="N609" s="271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1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1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1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1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1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5972363.9500000002</v>
      </c>
      <c r="H617" s="109">
        <f>SUM(F52)</f>
        <v>5972363.9500000002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31594.18</v>
      </c>
      <c r="H619" s="109">
        <f>SUM(H52)</f>
        <v>31594.18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1473419.87</v>
      </c>
      <c r="H621" s="109">
        <f>SUM(J52)</f>
        <v>1473419.87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20308.75</v>
      </c>
      <c r="H622" s="109">
        <f>F476</f>
        <v>20308.75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-9318.6299999999992</v>
      </c>
      <c r="H623" s="109">
        <f>G476</f>
        <v>-9318.6300000000047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63753.23</v>
      </c>
      <c r="H624" s="109">
        <f>H476</f>
        <v>63753.229999999996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-45301.58</v>
      </c>
      <c r="H625" s="109">
        <f>I476</f>
        <v>-45301.580000000075</v>
      </c>
      <c r="I625" s="121" t="s">
        <v>104</v>
      </c>
      <c r="J625" s="109">
        <f t="shared" si="50"/>
        <v>7.2759576141834259E-11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1473419.87</v>
      </c>
      <c r="H626" s="109">
        <f>J476</f>
        <v>1473419.8699999999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13871962.520000001</v>
      </c>
      <c r="H627" s="104">
        <f>SUM(F468)</f>
        <v>13871962.52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177380.05</v>
      </c>
      <c r="H628" s="104">
        <f>SUM(G468)</f>
        <v>177380.05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99718.080000000002</v>
      </c>
      <c r="H629" s="104">
        <f>SUM(H468)</f>
        <v>99718.080000000002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87625</v>
      </c>
      <c r="H630" s="104">
        <f>SUM(I468)</f>
        <v>87625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90677.92</v>
      </c>
      <c r="H631" s="104">
        <f>SUM(J468)</f>
        <v>90677.92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13551623.509999998</v>
      </c>
      <c r="H632" s="104">
        <f>SUM(F472)</f>
        <v>13551623.51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99718.080000000002</v>
      </c>
      <c r="H633" s="104">
        <f>SUM(H472)</f>
        <v>99718.080000000002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89894.409999999989</v>
      </c>
      <c r="H634" s="104">
        <f>I369</f>
        <v>89894.41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193307.15999999997</v>
      </c>
      <c r="H635" s="104">
        <f>SUM(G472)</f>
        <v>193307.16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1310999.73</v>
      </c>
      <c r="H636" s="104">
        <f>SUM(I472)</f>
        <v>1310999.73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90677.92</v>
      </c>
      <c r="H637" s="164">
        <f>SUM(J468)</f>
        <v>90677.92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148213</v>
      </c>
      <c r="H638" s="164">
        <f>SUM(J472)</f>
        <v>148213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186451.87</v>
      </c>
      <c r="H639" s="104">
        <f>SUM(F461)</f>
        <v>186451.87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1286968</v>
      </c>
      <c r="H640" s="104">
        <f>SUM(G461)</f>
        <v>1286968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1473419.87</v>
      </c>
      <c r="H642" s="104">
        <f>SUM(I461)</f>
        <v>1473419.87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5677.92</v>
      </c>
      <c r="H644" s="104">
        <f>H408</f>
        <v>5677.92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85000</v>
      </c>
      <c r="H645" s="104">
        <f>G408</f>
        <v>85000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90677.92</v>
      </c>
      <c r="H646" s="104">
        <f>L408</f>
        <v>90677.92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563340.71</v>
      </c>
      <c r="H647" s="104">
        <f>L208+L226+L244</f>
        <v>563340.71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55753.95</v>
      </c>
      <c r="H648" s="104">
        <f>(J257+J338)-(J255+J336)</f>
        <v>55753.950000000004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290392.36</v>
      </c>
      <c r="H649" s="104">
        <f>H598</f>
        <v>290392.36000000004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118762.84</v>
      </c>
      <c r="H650" s="104">
        <f>I598</f>
        <v>118762.84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154185.51</v>
      </c>
      <c r="H651" s="104">
        <f>J598</f>
        <v>154185.51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12497.25</v>
      </c>
      <c r="H652" s="104">
        <f>K263+K345</f>
        <v>12497.25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85000</v>
      </c>
      <c r="H655" s="104">
        <f>K266+K347</f>
        <v>85000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3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12175498.179999998</v>
      </c>
      <c r="G660" s="19">
        <f>(L229+L309+L359)</f>
        <v>118762.84</v>
      </c>
      <c r="H660" s="19">
        <f>(L247+L328+L360)</f>
        <v>1032702.6</v>
      </c>
      <c r="I660" s="19">
        <f>SUM(F660:H660)</f>
        <v>13326963.619999997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164882.79999999999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164882.79999999999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290392.36</v>
      </c>
      <c r="G662" s="19">
        <f>(L226+L306)-(J226+J306)</f>
        <v>118762.84</v>
      </c>
      <c r="H662" s="19">
        <f>(L244+L325)-(J244+J325)</f>
        <v>154185.51</v>
      </c>
      <c r="I662" s="19">
        <f>SUM(F662:H662)</f>
        <v>563340.71</v>
      </c>
      <c r="J662"/>
      <c r="K662" s="13"/>
      <c r="L662" s="13"/>
      <c r="M662" s="8"/>
    </row>
    <row r="663" spans="1:13" s="3" customFormat="1" ht="12" customHeight="1" x14ac:dyDescent="0.15">
      <c r="A663" s="197" t="s">
        <v>129</v>
      </c>
      <c r="B663" s="169"/>
      <c r="C663" s="169"/>
      <c r="D663" s="169"/>
      <c r="E663" s="169"/>
      <c r="F663" s="198">
        <f>SUM(F575:F587)+SUM(H602:H604)+SUM(L611)</f>
        <v>2337382.36</v>
      </c>
      <c r="G663" s="198">
        <f>SUM(G575:G587)+SUM(I602:I604)+L612</f>
        <v>0</v>
      </c>
      <c r="H663" s="198">
        <f>SUM(H575:H587)+SUM(J602:J604)+L613</f>
        <v>824318.19</v>
      </c>
      <c r="I663" s="19">
        <f>SUM(F663:H663)</f>
        <v>3161700.55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9382840.6599999983</v>
      </c>
      <c r="G664" s="19">
        <f>G660-SUM(G661:G663)</f>
        <v>0</v>
      </c>
      <c r="H664" s="19">
        <f>H660-SUM(H661:H663)</f>
        <v>54198.900000000023</v>
      </c>
      <c r="I664" s="19">
        <f>I660-SUM(I661:I663)</f>
        <v>9437039.5599999987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6">
        <v>470.94</v>
      </c>
      <c r="G665" s="247"/>
      <c r="H665" s="247"/>
      <c r="I665" s="19">
        <f>SUM(F665:H665)</f>
        <v>470.94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19923.64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20038.73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-54198.9</v>
      </c>
      <c r="I669" s="19">
        <f>SUM(F669:H669)</f>
        <v>-54198.9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19923.64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19923.64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F1" sqref="F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2" t="s">
        <v>785</v>
      </c>
      <c r="B1" s="231" t="str">
        <f>'DOE25'!A2</f>
        <v>Hanover School District</v>
      </c>
      <c r="C1" s="237" t="s">
        <v>839</v>
      </c>
    </row>
    <row r="2" spans="1:3" x14ac:dyDescent="0.2">
      <c r="A2" s="232"/>
      <c r="B2" s="231"/>
    </row>
    <row r="3" spans="1:3" x14ac:dyDescent="0.2">
      <c r="A3" s="278" t="s">
        <v>784</v>
      </c>
      <c r="B3" s="278"/>
      <c r="C3" s="278"/>
    </row>
    <row r="4" spans="1:3" x14ac:dyDescent="0.2">
      <c r="A4" s="235"/>
      <c r="B4" s="236" t="str">
        <f>'DOE25'!H1</f>
        <v>DOE 25  2015-2016</v>
      </c>
      <c r="C4" s="235"/>
    </row>
    <row r="5" spans="1:3" x14ac:dyDescent="0.2">
      <c r="A5" s="232"/>
      <c r="B5" s="231"/>
    </row>
    <row r="6" spans="1:3" x14ac:dyDescent="0.2">
      <c r="A6" s="226"/>
      <c r="B6" s="277" t="s">
        <v>783</v>
      </c>
      <c r="C6" s="277"/>
    </row>
    <row r="7" spans="1:3" x14ac:dyDescent="0.2">
      <c r="A7" s="238" t="s">
        <v>786</v>
      </c>
      <c r="B7" s="275" t="s">
        <v>782</v>
      </c>
      <c r="C7" s="276"/>
    </row>
    <row r="8" spans="1:3" x14ac:dyDescent="0.2">
      <c r="B8" s="227" t="s">
        <v>54</v>
      </c>
      <c r="C8" s="227" t="s">
        <v>776</v>
      </c>
    </row>
    <row r="9" spans="1:3" x14ac:dyDescent="0.2">
      <c r="A9" s="33" t="s">
        <v>777</v>
      </c>
      <c r="B9" s="228">
        <f>'DOE25'!F197+'DOE25'!F215+'DOE25'!F233+'DOE25'!F276+'DOE25'!F295+'DOE25'!F314</f>
        <v>3169904.66</v>
      </c>
      <c r="C9" s="228">
        <f>'DOE25'!G197+'DOE25'!G215+'DOE25'!G233+'DOE25'!G276+'DOE25'!G295+'DOE25'!G314</f>
        <v>1362017.51</v>
      </c>
    </row>
    <row r="10" spans="1:3" x14ac:dyDescent="0.2">
      <c r="A10" t="s">
        <v>779</v>
      </c>
      <c r="B10" s="239">
        <f>3169904.66-340540.8</f>
        <v>2829363.8600000003</v>
      </c>
      <c r="C10" s="239">
        <f>1362017.51-134547.13</f>
        <v>1227470.3799999999</v>
      </c>
    </row>
    <row r="11" spans="1:3" x14ac:dyDescent="0.2">
      <c r="A11" t="s">
        <v>780</v>
      </c>
      <c r="B11" s="239">
        <v>203081.66</v>
      </c>
      <c r="C11" s="239">
        <v>86709.65</v>
      </c>
    </row>
    <row r="12" spans="1:3" x14ac:dyDescent="0.2">
      <c r="A12" t="s">
        <v>781</v>
      </c>
      <c r="B12" s="239">
        <v>137459.14000000001</v>
      </c>
      <c r="C12" s="239">
        <v>47837.48</v>
      </c>
    </row>
    <row r="13" spans="1:3" x14ac:dyDescent="0.2">
      <c r="A13" t="str">
        <f>IF(B9=B13,IF(C9=C13,"Check Total OK","Check Total Error"),"Check Total Error")</f>
        <v>Check Total OK</v>
      </c>
      <c r="B13" s="230">
        <f>SUM(B10:B12)</f>
        <v>3169904.6600000006</v>
      </c>
      <c r="C13" s="230">
        <f>SUM(C10:C12)</f>
        <v>1362017.5099999998</v>
      </c>
    </row>
    <row r="14" spans="1:3" x14ac:dyDescent="0.2">
      <c r="B14" s="229"/>
      <c r="C14" s="229"/>
    </row>
    <row r="15" spans="1:3" x14ac:dyDescent="0.2">
      <c r="B15" s="277" t="s">
        <v>783</v>
      </c>
      <c r="C15" s="277"/>
    </row>
    <row r="16" spans="1:3" x14ac:dyDescent="0.2">
      <c r="A16" s="238" t="s">
        <v>787</v>
      </c>
      <c r="B16" s="275" t="s">
        <v>707</v>
      </c>
      <c r="C16" s="276"/>
    </row>
    <row r="17" spans="1:3" x14ac:dyDescent="0.2">
      <c r="B17" s="227" t="s">
        <v>54</v>
      </c>
      <c r="C17" s="227" t="s">
        <v>776</v>
      </c>
    </row>
    <row r="18" spans="1:3" x14ac:dyDescent="0.2">
      <c r="A18" s="33" t="s">
        <v>777</v>
      </c>
      <c r="B18" s="228">
        <f>'DOE25'!F198+'DOE25'!F216+'DOE25'!F234+'DOE25'!F277+'DOE25'!F296+'DOE25'!F315</f>
        <v>1589800.1</v>
      </c>
      <c r="C18" s="228">
        <f>'DOE25'!G198+'DOE25'!G216+'DOE25'!G234+'DOE25'!G277+'DOE25'!G296+'DOE25'!G315</f>
        <v>769024.84</v>
      </c>
    </row>
    <row r="19" spans="1:3" x14ac:dyDescent="0.2">
      <c r="A19" t="s">
        <v>779</v>
      </c>
      <c r="B19" s="239">
        <v>834467.07</v>
      </c>
      <c r="C19" s="239">
        <f>389654.12+19300.1</f>
        <v>408954.22</v>
      </c>
    </row>
    <row r="20" spans="1:3" x14ac:dyDescent="0.2">
      <c r="A20" t="s">
        <v>780</v>
      </c>
      <c r="B20" s="239">
        <v>582135.52</v>
      </c>
      <c r="C20" s="239">
        <f>257698.54+16483</f>
        <v>274181.54000000004</v>
      </c>
    </row>
    <row r="21" spans="1:3" x14ac:dyDescent="0.2">
      <c r="A21" t="s">
        <v>781</v>
      </c>
      <c r="B21" s="239">
        <f>1589800.1-1416602.59</f>
        <v>173197.51</v>
      </c>
      <c r="C21" s="239">
        <v>85889.08</v>
      </c>
    </row>
    <row r="22" spans="1:3" x14ac:dyDescent="0.2">
      <c r="A22" t="str">
        <f>IF(B18=B22,IF(C18=C22,"Check Total OK","Check Total Error"),"Check Total Error")</f>
        <v>Check Total OK</v>
      </c>
      <c r="B22" s="230">
        <f>SUM(B19:B21)</f>
        <v>1589800.0999999999</v>
      </c>
      <c r="C22" s="230">
        <f>SUM(C19:C21)</f>
        <v>769024.84</v>
      </c>
    </row>
    <row r="23" spans="1:3" x14ac:dyDescent="0.2">
      <c r="B23" s="229"/>
      <c r="C23" s="229"/>
    </row>
    <row r="24" spans="1:3" x14ac:dyDescent="0.2">
      <c r="B24" s="277" t="s">
        <v>783</v>
      </c>
      <c r="C24" s="277"/>
    </row>
    <row r="25" spans="1:3" x14ac:dyDescent="0.2">
      <c r="A25" s="238" t="s">
        <v>788</v>
      </c>
      <c r="B25" s="275" t="s">
        <v>708</v>
      </c>
      <c r="C25" s="276"/>
    </row>
    <row r="26" spans="1:3" x14ac:dyDescent="0.2">
      <c r="B26" s="227" t="s">
        <v>54</v>
      </c>
      <c r="C26" s="227" t="s">
        <v>776</v>
      </c>
    </row>
    <row r="27" spans="1:3" x14ac:dyDescent="0.2">
      <c r="A27" s="33" t="s">
        <v>777</v>
      </c>
      <c r="B27" s="233">
        <f>'DOE25'!F199+'DOE25'!F217+'DOE25'!F235+'DOE25'!F278+'DOE25'!F297+'DOE25'!F316</f>
        <v>0</v>
      </c>
      <c r="C27" s="233">
        <f>'DOE25'!G199+'DOE25'!G217+'DOE25'!G235+'DOE25'!G278+'DOE25'!G297+'DOE25'!G316</f>
        <v>0</v>
      </c>
    </row>
    <row r="28" spans="1:3" x14ac:dyDescent="0.2">
      <c r="A28" t="s">
        <v>779</v>
      </c>
      <c r="B28" s="239"/>
      <c r="C28" s="239"/>
    </row>
    <row r="29" spans="1:3" x14ac:dyDescent="0.2">
      <c r="A29" t="s">
        <v>780</v>
      </c>
      <c r="B29" s="239"/>
      <c r="C29" s="239"/>
    </row>
    <row r="30" spans="1:3" x14ac:dyDescent="0.2">
      <c r="A30" t="s">
        <v>781</v>
      </c>
      <c r="B30" s="239"/>
      <c r="C30" s="239"/>
    </row>
    <row r="31" spans="1:3" x14ac:dyDescent="0.2">
      <c r="A31" t="str">
        <f>IF(B27=B31,IF(C27=C31,"Check Total OK","Check Total Error"),"Check Total Error")</f>
        <v>Check Total OK</v>
      </c>
      <c r="B31" s="230">
        <f>SUM(B28:B30)</f>
        <v>0</v>
      </c>
      <c r="C31" s="230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8" t="s">
        <v>789</v>
      </c>
      <c r="B34" s="275" t="s">
        <v>709</v>
      </c>
      <c r="C34" s="276"/>
    </row>
    <row r="35" spans="1:3" x14ac:dyDescent="0.2">
      <c r="B35" s="227" t="s">
        <v>54</v>
      </c>
      <c r="C35" s="227" t="s">
        <v>776</v>
      </c>
    </row>
    <row r="36" spans="1:3" x14ac:dyDescent="0.2">
      <c r="A36" s="33" t="s">
        <v>777</v>
      </c>
      <c r="B36" s="234">
        <f>'DOE25'!F200+'DOE25'!F218+'DOE25'!F236+'DOE25'!F279+'DOE25'!F298+'DOE25'!F317</f>
        <v>0</v>
      </c>
      <c r="C36" s="234">
        <f>'DOE25'!G200+'DOE25'!G218+'DOE25'!G236+'DOE25'!G279+'DOE25'!G298+'DOE25'!G317</f>
        <v>0</v>
      </c>
    </row>
    <row r="37" spans="1:3" x14ac:dyDescent="0.2">
      <c r="A37" t="s">
        <v>779</v>
      </c>
      <c r="B37" s="239"/>
      <c r="C37" s="239"/>
    </row>
    <row r="38" spans="1:3" x14ac:dyDescent="0.2">
      <c r="A38" t="s">
        <v>780</v>
      </c>
      <c r="B38" s="239"/>
      <c r="C38" s="239"/>
    </row>
    <row r="39" spans="1:3" x14ac:dyDescent="0.2">
      <c r="A39" t="s">
        <v>781</v>
      </c>
      <c r="B39" s="239"/>
      <c r="C39" s="239"/>
    </row>
    <row r="40" spans="1:3" x14ac:dyDescent="0.2">
      <c r="A40" t="str">
        <f>IF(B36=B40,IF(C36=C40,"Check Total OK","Check Total Error"),"Check Total Error")</f>
        <v>Check Total OK</v>
      </c>
      <c r="B40" s="230">
        <f>SUM(B37:B39)</f>
        <v>0</v>
      </c>
      <c r="C40" s="230">
        <f>SUM(C37:C39)</f>
        <v>0</v>
      </c>
    </row>
    <row r="41" spans="1:3" x14ac:dyDescent="0.2">
      <c r="B41" s="229"/>
      <c r="C41" s="229"/>
    </row>
    <row r="42" spans="1:3" x14ac:dyDescent="0.2">
      <c r="A42" s="33" t="s">
        <v>837</v>
      </c>
      <c r="B42" s="229"/>
      <c r="C42" s="229"/>
    </row>
    <row r="43" spans="1:3" x14ac:dyDescent="0.2">
      <c r="A43" t="s">
        <v>841</v>
      </c>
      <c r="B43" s="229"/>
      <c r="C43" s="229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3" t="s">
        <v>778</v>
      </c>
    </row>
    <row r="49" spans="1:1" x14ac:dyDescent="0.2">
      <c r="A49" s="267" t="s">
        <v>844</v>
      </c>
    </row>
    <row r="50" spans="1:1" x14ac:dyDescent="0.2">
      <c r="A50" s="267" t="s">
        <v>838</v>
      </c>
    </row>
    <row r="51" spans="1:1" x14ac:dyDescent="0.2">
      <c r="A51" s="267" t="s">
        <v>845</v>
      </c>
    </row>
    <row r="52" spans="1:1" x14ac:dyDescent="0.2">
      <c r="A52" s="268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tabSelected="1"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0"/>
    </row>
    <row r="2" spans="1:9" x14ac:dyDescent="0.2">
      <c r="A2" s="33" t="s">
        <v>717</v>
      </c>
      <c r="B2" s="264" t="str">
        <f>'DOE25'!A2</f>
        <v>Hanover School District</v>
      </c>
      <c r="C2" s="180"/>
      <c r="D2" s="180" t="s">
        <v>792</v>
      </c>
      <c r="E2" s="180" t="s">
        <v>794</v>
      </c>
      <c r="F2" s="279" t="s">
        <v>821</v>
      </c>
      <c r="G2" s="280"/>
      <c r="H2" s="281"/>
      <c r="I2" s="180"/>
    </row>
    <row r="3" spans="1:9" x14ac:dyDescent="0.2">
      <c r="A3" s="180" t="s">
        <v>94</v>
      </c>
      <c r="B3" s="227" t="s">
        <v>10</v>
      </c>
      <c r="C3" s="180" t="s">
        <v>5</v>
      </c>
      <c r="D3" s="180" t="s">
        <v>793</v>
      </c>
      <c r="E3" s="180" t="s">
        <v>795</v>
      </c>
      <c r="F3" s="240" t="s">
        <v>835</v>
      </c>
      <c r="G3" s="216" t="s">
        <v>59</v>
      </c>
      <c r="H3" s="241" t="s">
        <v>798</v>
      </c>
    </row>
    <row r="4" spans="1:9" x14ac:dyDescent="0.2">
      <c r="A4" s="250" t="s">
        <v>800</v>
      </c>
      <c r="B4" s="250" t="s">
        <v>816</v>
      </c>
      <c r="C4" s="250" t="s">
        <v>791</v>
      </c>
      <c r="D4" s="250" t="s">
        <v>817</v>
      </c>
      <c r="E4" s="250" t="s">
        <v>817</v>
      </c>
      <c r="F4" s="249" t="s">
        <v>797</v>
      </c>
      <c r="G4" s="250" t="s">
        <v>811</v>
      </c>
      <c r="H4" s="251" t="s">
        <v>799</v>
      </c>
    </row>
    <row r="5" spans="1:9" x14ac:dyDescent="0.2">
      <c r="A5" s="32">
        <v>1000</v>
      </c>
      <c r="B5" t="s">
        <v>195</v>
      </c>
      <c r="C5" s="244">
        <f t="shared" ref="C5:C19" si="0">SUM(D5:H5)</f>
        <v>10307201.999999998</v>
      </c>
      <c r="D5" s="20">
        <f>SUM('DOE25'!L197:L200)+SUM('DOE25'!L215:L218)+SUM('DOE25'!L233:L236)-F5-G5</f>
        <v>10266678.769999998</v>
      </c>
      <c r="E5" s="242"/>
      <c r="F5" s="254">
        <f>SUM('DOE25'!J197:J200)+SUM('DOE25'!J215:J218)+SUM('DOE25'!J233:J236)</f>
        <v>40047.83</v>
      </c>
      <c r="G5" s="53">
        <f>SUM('DOE25'!K197:K200)+SUM('DOE25'!K215:K218)+SUM('DOE25'!K233:K236)</f>
        <v>475.4</v>
      </c>
      <c r="H5" s="258"/>
    </row>
    <row r="6" spans="1:9" x14ac:dyDescent="0.2">
      <c r="A6" s="32">
        <v>2100</v>
      </c>
      <c r="B6" t="s">
        <v>801</v>
      </c>
      <c r="C6" s="244">
        <f t="shared" si="0"/>
        <v>272039.75</v>
      </c>
      <c r="D6" s="20">
        <f>'DOE25'!L202+'DOE25'!L220+'DOE25'!L238-F6-G6</f>
        <v>271889.75</v>
      </c>
      <c r="E6" s="242"/>
      <c r="F6" s="254">
        <f>'DOE25'!J202+'DOE25'!J220+'DOE25'!J238</f>
        <v>0</v>
      </c>
      <c r="G6" s="53">
        <f>'DOE25'!K202+'DOE25'!K220+'DOE25'!K238</f>
        <v>150</v>
      </c>
      <c r="H6" s="258"/>
    </row>
    <row r="7" spans="1:9" x14ac:dyDescent="0.2">
      <c r="A7" s="32">
        <v>2200</v>
      </c>
      <c r="B7" t="s">
        <v>834</v>
      </c>
      <c r="C7" s="244">
        <f t="shared" si="0"/>
        <v>251371.33</v>
      </c>
      <c r="D7" s="20">
        <f>'DOE25'!L203+'DOE25'!L221+'DOE25'!L239-F7-G7</f>
        <v>241432.03</v>
      </c>
      <c r="E7" s="242"/>
      <c r="F7" s="254">
        <f>'DOE25'!J203+'DOE25'!J221+'DOE25'!J239</f>
        <v>9939.2999999999993</v>
      </c>
      <c r="G7" s="53">
        <f>'DOE25'!K203+'DOE25'!K221+'DOE25'!K239</f>
        <v>0</v>
      </c>
      <c r="H7" s="258"/>
    </row>
    <row r="8" spans="1:9" x14ac:dyDescent="0.2">
      <c r="A8" s="32">
        <v>2300</v>
      </c>
      <c r="B8" t="s">
        <v>802</v>
      </c>
      <c r="C8" s="244">
        <f t="shared" si="0"/>
        <v>262480.24</v>
      </c>
      <c r="D8" s="242"/>
      <c r="E8" s="20">
        <f>'DOE25'!L204+'DOE25'!L222+'DOE25'!L240-F8-G8-D9-D11</f>
        <v>257337.39999999997</v>
      </c>
      <c r="F8" s="254">
        <f>'DOE25'!J204+'DOE25'!J222+'DOE25'!J240</f>
        <v>0</v>
      </c>
      <c r="G8" s="53">
        <f>'DOE25'!K204+'DOE25'!K222+'DOE25'!K240</f>
        <v>5142.84</v>
      </c>
      <c r="H8" s="258"/>
    </row>
    <row r="9" spans="1:9" x14ac:dyDescent="0.2">
      <c r="A9" s="32">
        <v>2310</v>
      </c>
      <c r="B9" t="s">
        <v>818</v>
      </c>
      <c r="C9" s="244">
        <f t="shared" si="0"/>
        <v>71368.460000000006</v>
      </c>
      <c r="D9" s="243">
        <v>71368.460000000006</v>
      </c>
      <c r="E9" s="242"/>
      <c r="F9" s="257"/>
      <c r="G9" s="255"/>
      <c r="H9" s="258"/>
    </row>
    <row r="10" spans="1:9" x14ac:dyDescent="0.2">
      <c r="A10" s="32">
        <v>2317</v>
      </c>
      <c r="B10" t="s">
        <v>819</v>
      </c>
      <c r="C10" s="244">
        <f t="shared" si="0"/>
        <v>11200</v>
      </c>
      <c r="D10" s="242"/>
      <c r="E10" s="243">
        <v>11200</v>
      </c>
      <c r="F10" s="257"/>
      <c r="G10" s="255"/>
      <c r="H10" s="258"/>
    </row>
    <row r="11" spans="1:9" x14ac:dyDescent="0.2">
      <c r="A11" s="32">
        <v>2321</v>
      </c>
      <c r="B11" t="s">
        <v>831</v>
      </c>
      <c r="C11" s="244">
        <f t="shared" si="0"/>
        <v>73283.759999999995</v>
      </c>
      <c r="D11" s="243">
        <v>73283.759999999995</v>
      </c>
      <c r="E11" s="242"/>
      <c r="F11" s="257"/>
      <c r="G11" s="255"/>
      <c r="H11" s="258"/>
    </row>
    <row r="12" spans="1:9" x14ac:dyDescent="0.2">
      <c r="A12" s="32">
        <v>2400</v>
      </c>
      <c r="B12" t="s">
        <v>715</v>
      </c>
      <c r="C12" s="244">
        <f t="shared" si="0"/>
        <v>667119.01000000013</v>
      </c>
      <c r="D12" s="20">
        <f>'DOE25'!L205+'DOE25'!L223+'DOE25'!L241-F12-G12</f>
        <v>666077.4800000001</v>
      </c>
      <c r="E12" s="242"/>
      <c r="F12" s="254">
        <f>'DOE25'!J205+'DOE25'!J223+'DOE25'!J241</f>
        <v>177.53</v>
      </c>
      <c r="G12" s="53">
        <f>'DOE25'!K205+'DOE25'!K223+'DOE25'!K241</f>
        <v>864</v>
      </c>
      <c r="H12" s="258"/>
    </row>
    <row r="13" spans="1:9" x14ac:dyDescent="0.2">
      <c r="A13" s="32">
        <v>2500</v>
      </c>
      <c r="B13" t="s">
        <v>803</v>
      </c>
      <c r="C13" s="244">
        <f t="shared" si="0"/>
        <v>0</v>
      </c>
      <c r="D13" s="242"/>
      <c r="E13" s="20">
        <f>'DOE25'!L206+'DOE25'!L224+'DOE25'!L242-F13-G13</f>
        <v>0</v>
      </c>
      <c r="F13" s="254">
        <f>'DOE25'!J206+'DOE25'!J224+'DOE25'!J242</f>
        <v>0</v>
      </c>
      <c r="G13" s="53">
        <f>'DOE25'!K206+'DOE25'!K224+'DOE25'!K242</f>
        <v>0</v>
      </c>
      <c r="H13" s="258"/>
    </row>
    <row r="14" spans="1:9" x14ac:dyDescent="0.2">
      <c r="A14" s="32">
        <v>2600</v>
      </c>
      <c r="B14" t="s">
        <v>832</v>
      </c>
      <c r="C14" s="244">
        <f t="shared" si="0"/>
        <v>565733.12</v>
      </c>
      <c r="D14" s="20">
        <f>'DOE25'!L207+'DOE25'!L225+'DOE25'!L243-F14-G14</f>
        <v>560143.82999999996</v>
      </c>
      <c r="E14" s="242"/>
      <c r="F14" s="254">
        <f>'DOE25'!J207+'DOE25'!J225+'DOE25'!J243</f>
        <v>5589.29</v>
      </c>
      <c r="G14" s="53">
        <f>'DOE25'!K207+'DOE25'!K225+'DOE25'!K243</f>
        <v>0</v>
      </c>
      <c r="H14" s="258"/>
    </row>
    <row r="15" spans="1:9" x14ac:dyDescent="0.2">
      <c r="A15" s="32">
        <v>2700</v>
      </c>
      <c r="B15" t="s">
        <v>804</v>
      </c>
      <c r="C15" s="244">
        <f t="shared" si="0"/>
        <v>563340.71</v>
      </c>
      <c r="D15" s="20">
        <f>'DOE25'!L208+'DOE25'!L226+'DOE25'!L244-F15-G15</f>
        <v>563340.71</v>
      </c>
      <c r="E15" s="242"/>
      <c r="F15" s="254">
        <f>'DOE25'!J208+'DOE25'!J226+'DOE25'!J244</f>
        <v>0</v>
      </c>
      <c r="G15" s="53">
        <f>'DOE25'!K208+'DOE25'!K226+'DOE25'!K244</f>
        <v>0</v>
      </c>
      <c r="H15" s="258"/>
    </row>
    <row r="16" spans="1:9" x14ac:dyDescent="0.2">
      <c r="A16" s="32">
        <v>2800</v>
      </c>
      <c r="B16" t="s">
        <v>805</v>
      </c>
      <c r="C16" s="244">
        <f t="shared" si="0"/>
        <v>0</v>
      </c>
      <c r="D16" s="242"/>
      <c r="E16" s="20">
        <f>'DOE25'!L209+'DOE25'!L227+'DOE25'!L245-F16-G16</f>
        <v>0</v>
      </c>
      <c r="F16" s="254">
        <f>'DOE25'!J209+'DOE25'!J227+'DOE25'!J245</f>
        <v>0</v>
      </c>
      <c r="G16" s="53">
        <f>'DOE25'!K209+'DOE25'!K227+'DOE25'!K245</f>
        <v>0</v>
      </c>
      <c r="H16" s="258"/>
    </row>
    <row r="17" spans="1:8" x14ac:dyDescent="0.2">
      <c r="A17" s="32">
        <v>1600</v>
      </c>
      <c r="B17" t="s">
        <v>806</v>
      </c>
      <c r="C17" s="244">
        <f t="shared" si="0"/>
        <v>0</v>
      </c>
      <c r="D17" s="20">
        <f>'DOE25'!L251-F17-G17</f>
        <v>0</v>
      </c>
      <c r="E17" s="242"/>
      <c r="F17" s="254">
        <f>'DOE25'!J251</f>
        <v>0</v>
      </c>
      <c r="G17" s="53">
        <f>'DOE25'!K251</f>
        <v>0</v>
      </c>
      <c r="H17" s="258"/>
    </row>
    <row r="18" spans="1:8" x14ac:dyDescent="0.2">
      <c r="A18" s="32">
        <v>1700</v>
      </c>
      <c r="B18" t="s">
        <v>807</v>
      </c>
      <c r="C18" s="244">
        <f t="shared" si="0"/>
        <v>0</v>
      </c>
      <c r="D18" s="20">
        <f>'DOE25'!L252-F18-G18</f>
        <v>0</v>
      </c>
      <c r="E18" s="242"/>
      <c r="F18" s="254">
        <f>'DOE25'!J252</f>
        <v>0</v>
      </c>
      <c r="G18" s="53">
        <f>'DOE25'!K252</f>
        <v>0</v>
      </c>
      <c r="H18" s="258"/>
    </row>
    <row r="19" spans="1:8" x14ac:dyDescent="0.2">
      <c r="A19" s="32">
        <v>1800</v>
      </c>
      <c r="B19" t="s">
        <v>808</v>
      </c>
      <c r="C19" s="244">
        <f t="shared" si="0"/>
        <v>0</v>
      </c>
      <c r="D19" s="20">
        <f>'DOE25'!L253-F19-G19</f>
        <v>0</v>
      </c>
      <c r="E19" s="242"/>
      <c r="F19" s="254">
        <f>'DOE25'!J253</f>
        <v>0</v>
      </c>
      <c r="G19" s="53">
        <f>'DOE25'!K253</f>
        <v>0</v>
      </c>
      <c r="H19" s="258"/>
    </row>
    <row r="20" spans="1:8" x14ac:dyDescent="0.2">
      <c r="F20" s="259"/>
      <c r="G20" s="52"/>
      <c r="H20" s="260"/>
    </row>
    <row r="21" spans="1:8" x14ac:dyDescent="0.2">
      <c r="B21" s="33" t="s">
        <v>796</v>
      </c>
      <c r="F21" s="259"/>
      <c r="G21" s="52"/>
      <c r="H21" s="260"/>
    </row>
    <row r="22" spans="1:8" x14ac:dyDescent="0.2">
      <c r="A22" s="32">
        <v>4000</v>
      </c>
      <c r="B22" t="s">
        <v>833</v>
      </c>
      <c r="C22" s="244">
        <f>SUM(D22:H22)</f>
        <v>29165.88</v>
      </c>
      <c r="D22" s="242"/>
      <c r="E22" s="242"/>
      <c r="F22" s="254">
        <f>'DOE25'!L255+'DOE25'!L336</f>
        <v>29165.88</v>
      </c>
      <c r="G22" s="255"/>
      <c r="H22" s="258"/>
    </row>
    <row r="23" spans="1:8" x14ac:dyDescent="0.2">
      <c r="A23" s="32"/>
      <c r="F23" s="259"/>
      <c r="G23" s="52"/>
      <c r="H23" s="260"/>
    </row>
    <row r="24" spans="1:8" x14ac:dyDescent="0.2">
      <c r="A24" s="32"/>
      <c r="B24" s="33" t="s">
        <v>464</v>
      </c>
      <c r="F24" s="259"/>
      <c r="G24" s="52"/>
      <c r="H24" s="260"/>
    </row>
    <row r="25" spans="1:8" x14ac:dyDescent="0.2">
      <c r="A25" s="32" t="s">
        <v>809</v>
      </c>
      <c r="B25" t="s">
        <v>810</v>
      </c>
      <c r="C25" s="244">
        <f>SUM(D25:H25)</f>
        <v>391022</v>
      </c>
      <c r="D25" s="242"/>
      <c r="E25" s="242"/>
      <c r="F25" s="257"/>
      <c r="G25" s="255"/>
      <c r="H25" s="256">
        <f>'DOE25'!L260+'DOE25'!L261+'DOE25'!L341+'DOE25'!L342</f>
        <v>391022</v>
      </c>
    </row>
    <row r="26" spans="1:8" x14ac:dyDescent="0.2">
      <c r="A26" s="32"/>
      <c r="F26" s="259"/>
      <c r="G26" s="52"/>
      <c r="H26" s="260"/>
    </row>
    <row r="27" spans="1:8" x14ac:dyDescent="0.2">
      <c r="A27" s="32"/>
      <c r="B27" s="33" t="s">
        <v>812</v>
      </c>
      <c r="F27" s="259"/>
      <c r="G27" s="52"/>
      <c r="H27" s="260"/>
    </row>
    <row r="28" spans="1:8" x14ac:dyDescent="0.2">
      <c r="A28" s="32">
        <v>3100</v>
      </c>
      <c r="B28" t="s">
        <v>825</v>
      </c>
      <c r="F28" s="259"/>
      <c r="G28" s="52"/>
      <c r="H28" s="260"/>
    </row>
    <row r="29" spans="1:8" x14ac:dyDescent="0.2">
      <c r="A29" s="32"/>
      <c r="B29" t="s">
        <v>813</v>
      </c>
      <c r="C29" s="244">
        <f>SUM(D29:H29)</f>
        <v>103412.74999999997</v>
      </c>
      <c r="D29" s="20">
        <f>'DOE25'!L358+'DOE25'!L359+'DOE25'!L360-'DOE25'!I367-F29-G29</f>
        <v>103412.74999999997</v>
      </c>
      <c r="E29" s="242"/>
      <c r="F29" s="254">
        <f>'DOE25'!J358+'DOE25'!J359+'DOE25'!J360</f>
        <v>0</v>
      </c>
      <c r="G29" s="53">
        <f>'DOE25'!K358+'DOE25'!K359+'DOE25'!K360</f>
        <v>0</v>
      </c>
      <c r="H29" s="258"/>
    </row>
    <row r="30" spans="1:8" x14ac:dyDescent="0.2">
      <c r="A30" s="32"/>
      <c r="D30" s="20"/>
      <c r="E30" s="242"/>
      <c r="F30" s="254"/>
      <c r="G30" s="53"/>
      <c r="H30" s="258"/>
    </row>
    <row r="31" spans="1:8" x14ac:dyDescent="0.2">
      <c r="A31" s="32" t="s">
        <v>827</v>
      </c>
      <c r="B31" t="s">
        <v>826</v>
      </c>
      <c r="C31" s="244">
        <f>SUM(D31:H31)</f>
        <v>99718.080000000002</v>
      </c>
      <c r="D31" s="20">
        <f>'DOE25'!L290+'DOE25'!L309+'DOE25'!L328+'DOE25'!L333+'DOE25'!L334+'DOE25'!L335-F31-G31</f>
        <v>99718.080000000002</v>
      </c>
      <c r="E31" s="242"/>
      <c r="F31" s="254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8"/>
    </row>
    <row r="32" spans="1:8" ht="12" thickBot="1" x14ac:dyDescent="0.25">
      <c r="F32" s="261"/>
      <c r="G32" s="252"/>
      <c r="H32" s="262"/>
    </row>
    <row r="33" spans="2:8" ht="12" thickTop="1" x14ac:dyDescent="0.2">
      <c r="B33" t="s">
        <v>814</v>
      </c>
      <c r="D33" s="245">
        <f>SUM(D5:D31)</f>
        <v>12917345.619999999</v>
      </c>
      <c r="E33" s="245">
        <f>SUM(E5:E31)</f>
        <v>268537.39999999997</v>
      </c>
      <c r="F33" s="245">
        <f>SUM(F5:F31)</f>
        <v>84919.83</v>
      </c>
      <c r="G33" s="245">
        <f>SUM(G5:G31)</f>
        <v>6632.24</v>
      </c>
      <c r="H33" s="245">
        <f>SUM(H5:H31)</f>
        <v>391022</v>
      </c>
    </row>
    <row r="35" spans="2:8" ht="12" thickBot="1" x14ac:dyDescent="0.25">
      <c r="B35" s="252" t="s">
        <v>847</v>
      </c>
      <c r="D35" s="253">
        <f>E33</f>
        <v>268537.39999999997</v>
      </c>
      <c r="E35" s="248"/>
    </row>
    <row r="36" spans="2:8" ht="12" thickTop="1" x14ac:dyDescent="0.2">
      <c r="B36" t="s">
        <v>815</v>
      </c>
      <c r="D36" s="20">
        <f>D33</f>
        <v>12917345.619999999</v>
      </c>
    </row>
    <row r="38" spans="2:8" x14ac:dyDescent="0.2">
      <c r="B38" s="186" t="s">
        <v>905</v>
      </c>
      <c r="C38" s="265"/>
      <c r="D38" s="266"/>
    </row>
    <row r="39" spans="2:8" x14ac:dyDescent="0.2">
      <c r="B39" t="s">
        <v>824</v>
      </c>
      <c r="D39" s="180" t="str">
        <f>IF(E10&gt;0,"Y","N")</f>
        <v>Y</v>
      </c>
    </row>
    <row r="41" spans="2:8" x14ac:dyDescent="0.2">
      <c r="B41" s="263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Hanover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167579.63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1473419.87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2596.41</v>
      </c>
      <c r="D12" s="95">
        <f>'DOE25'!G13</f>
        <v>0</v>
      </c>
      <c r="E12" s="95">
        <f>'DOE25'!H13</f>
        <v>31594.18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368.3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3819.61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5798000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5972363.9500000002</v>
      </c>
      <c r="D18" s="41">
        <f>SUM(D8:D17)</f>
        <v>0</v>
      </c>
      <c r="E18" s="41">
        <f>SUM(E8:E17)</f>
        <v>31594.18</v>
      </c>
      <c r="F18" s="41">
        <f>SUM(F8:F17)</f>
        <v>0</v>
      </c>
      <c r="G18" s="41">
        <f>SUM(G8:G17)</f>
        <v>1473419.87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3005.6</v>
      </c>
      <c r="D21" s="95">
        <f>'DOE25'!G22</f>
        <v>-13447.38</v>
      </c>
      <c r="E21" s="95">
        <f>'DOE25'!H22</f>
        <v>-32159.050000000003</v>
      </c>
      <c r="F21" s="95">
        <f>'DOE25'!I22</f>
        <v>45301.58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151049.60000000001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407000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5391000</v>
      </c>
      <c r="D30" s="95">
        <f>'DOE25'!G31</f>
        <v>22766.01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5952055.2000000002</v>
      </c>
      <c r="D31" s="41">
        <f>SUM(D21:D30)</f>
        <v>9318.6299999999992</v>
      </c>
      <c r="E31" s="41">
        <f>SUM(E21:E30)</f>
        <v>-32159.050000000003</v>
      </c>
      <c r="F31" s="41">
        <f>SUM(F21:F30)</f>
        <v>45301.58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-9318.6299999999992</v>
      </c>
      <c r="E47" s="95">
        <f>'DOE25'!H48</f>
        <v>63753.23</v>
      </c>
      <c r="F47" s="95">
        <f>'DOE25'!I48</f>
        <v>-45301.58</v>
      </c>
      <c r="G47" s="95">
        <f>'DOE25'!J48</f>
        <v>1473419.87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20308.75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20308.75</v>
      </c>
      <c r="D50" s="41">
        <f>SUM(D34:D49)</f>
        <v>-9318.6299999999992</v>
      </c>
      <c r="E50" s="41">
        <f>SUM(E34:E49)</f>
        <v>63753.23</v>
      </c>
      <c r="F50" s="41">
        <f>SUM(F34:F49)</f>
        <v>-45301.58</v>
      </c>
      <c r="G50" s="41">
        <f>SUM(G34:G49)</f>
        <v>1473419.87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5972363.9500000002</v>
      </c>
      <c r="D51" s="41">
        <f>D50+D31</f>
        <v>0</v>
      </c>
      <c r="E51" s="41">
        <f>E50+E31</f>
        <v>31594.18</v>
      </c>
      <c r="F51" s="41">
        <f>F50+F31</f>
        <v>0</v>
      </c>
      <c r="G51" s="41">
        <f>G50+G31</f>
        <v>1473419.87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10492901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169080.76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4036.61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5677.92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164305.5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68832.27</v>
      </c>
      <c r="D61" s="95">
        <f>SUM('DOE25'!G98:G110)</f>
        <v>577.29999999999995</v>
      </c>
      <c r="E61" s="95">
        <f>SUM('DOE25'!H98:H110)</f>
        <v>0</v>
      </c>
      <c r="F61" s="95">
        <f>SUM('DOE25'!I98:I110)</f>
        <v>26000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241949.64</v>
      </c>
      <c r="D62" s="130">
        <f>SUM(D57:D61)</f>
        <v>164882.79999999999</v>
      </c>
      <c r="E62" s="130">
        <f>SUM(E57:E61)</f>
        <v>0</v>
      </c>
      <c r="F62" s="130">
        <f>SUM(F57:F61)</f>
        <v>26000</v>
      </c>
      <c r="G62" s="130">
        <f>SUM(G57:G61)</f>
        <v>5677.92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10734850.640000001</v>
      </c>
      <c r="D63" s="22">
        <f>D56+D62</f>
        <v>164882.79999999999</v>
      </c>
      <c r="E63" s="22">
        <f>E56+E62</f>
        <v>0</v>
      </c>
      <c r="F63" s="22">
        <f>F56+F62</f>
        <v>26000</v>
      </c>
      <c r="G63" s="22">
        <f>G56+G62</f>
        <v>5677.92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2278464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2278464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153108.39000000001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478717.28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631825.67000000004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2910289.67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123232.42</v>
      </c>
      <c r="D88" s="95">
        <f>SUM('DOE25'!G153:G161)</f>
        <v>0</v>
      </c>
      <c r="E88" s="95">
        <f>SUM('DOE25'!H153:H161)</f>
        <v>99718.080000000002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3589.79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126822.20999999999</v>
      </c>
      <c r="D91" s="131">
        <f>SUM(D85:D90)</f>
        <v>0</v>
      </c>
      <c r="E91" s="131">
        <f>SUM(E85:E90)</f>
        <v>99718.080000000002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61625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12497.25</v>
      </c>
      <c r="E96" s="95">
        <f>'DOE25'!H179</f>
        <v>0</v>
      </c>
      <c r="F96" s="95">
        <f>'DOE25'!I179</f>
        <v>0</v>
      </c>
      <c r="G96" s="95">
        <f>'DOE25'!J179</f>
        <v>85000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100000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100000</v>
      </c>
      <c r="D103" s="86">
        <f>SUM(D93:D102)</f>
        <v>12497.25</v>
      </c>
      <c r="E103" s="86">
        <f>SUM(E93:E102)</f>
        <v>0</v>
      </c>
      <c r="F103" s="86">
        <f>SUM(F93:F102)</f>
        <v>61625</v>
      </c>
      <c r="G103" s="86">
        <f>SUM(G93:G102)</f>
        <v>85000</v>
      </c>
    </row>
    <row r="104" spans="1:7" ht="12.75" thickTop="1" thickBot="1" x14ac:dyDescent="0.25">
      <c r="A104" s="33" t="s">
        <v>765</v>
      </c>
      <c r="C104" s="86">
        <f>C63+C81+C91+C103</f>
        <v>13871962.520000001</v>
      </c>
      <c r="D104" s="86">
        <f>D63+D81+D91+D103</f>
        <v>177380.05</v>
      </c>
      <c r="E104" s="86">
        <f>E63+E81+E91+E103</f>
        <v>99718.080000000002</v>
      </c>
      <c r="F104" s="86">
        <f>F63+F81+F91+F103</f>
        <v>87625</v>
      </c>
      <c r="G104" s="86">
        <f>G63+G81+G103</f>
        <v>90677.92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6732929.959999999</v>
      </c>
      <c r="D109" s="24" t="s">
        <v>289</v>
      </c>
      <c r="E109" s="95">
        <f>('DOE25'!L276)+('DOE25'!L295)+('DOE25'!L314)</f>
        <v>99718.080000000002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3574272.0399999996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10307201.999999998</v>
      </c>
      <c r="D115" s="86">
        <f>SUM(D109:D114)</f>
        <v>0</v>
      </c>
      <c r="E115" s="86">
        <f>SUM(E109:E114)</f>
        <v>99718.080000000002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272039.75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251371.33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407132.46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667119.01000000013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565733.12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563340.71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193307.15999999997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2726736.3800000004</v>
      </c>
      <c r="D128" s="86">
        <f>SUM(D118:D127)</f>
        <v>193307.15999999997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29165.88</v>
      </c>
      <c r="D130" s="24" t="s">
        <v>289</v>
      </c>
      <c r="E130" s="129">
        <f>'DOE25'!L336</f>
        <v>0</v>
      </c>
      <c r="F130" s="129">
        <f>SUM('DOE25'!L374:'DOE25'!L380)</f>
        <v>1310999.73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136000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255022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148213</v>
      </c>
    </row>
    <row r="135" spans="1:7" x14ac:dyDescent="0.2">
      <c r="A135" t="s">
        <v>233</v>
      </c>
      <c r="B135" s="32" t="s">
        <v>234</v>
      </c>
      <c r="C135" s="95">
        <f>'DOE25'!L263</f>
        <v>12497.25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90677.92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-5677.9199999999983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517685.13</v>
      </c>
      <c r="D144" s="141">
        <f>SUM(D130:D143)</f>
        <v>0</v>
      </c>
      <c r="E144" s="141">
        <f>SUM(E130:E143)</f>
        <v>0</v>
      </c>
      <c r="F144" s="141">
        <f>SUM(F130:F143)</f>
        <v>1310999.73</v>
      </c>
      <c r="G144" s="141">
        <f>SUM(G130:G143)</f>
        <v>148213</v>
      </c>
    </row>
    <row r="145" spans="1:9" ht="12.75" thickTop="1" thickBot="1" x14ac:dyDescent="0.25">
      <c r="A145" s="33" t="s">
        <v>244</v>
      </c>
      <c r="C145" s="86">
        <f>(C115+C128+C144)</f>
        <v>13551623.51</v>
      </c>
      <c r="D145" s="86">
        <f>(D115+D128+D144)</f>
        <v>193307.15999999997</v>
      </c>
      <c r="E145" s="86">
        <f>(E115+E128+E144)</f>
        <v>99718.080000000002</v>
      </c>
      <c r="F145" s="86">
        <f>(F115+F128+F144)</f>
        <v>1310999.73</v>
      </c>
      <c r="G145" s="86">
        <f>(G115+G128+G144)</f>
        <v>148213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02/15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02/36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5798000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3.04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5798000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5798000</v>
      </c>
    </row>
    <row r="158" spans="1:9" x14ac:dyDescent="0.2">
      <c r="A158" s="22" t="s">
        <v>34</v>
      </c>
      <c r="B158" s="137">
        <f>'DOE25'!F497</f>
        <v>136000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136000</v>
      </c>
    </row>
    <row r="159" spans="1:9" x14ac:dyDescent="0.2">
      <c r="A159" s="22" t="s">
        <v>35</v>
      </c>
      <c r="B159" s="137">
        <f>'DOE25'!F498</f>
        <v>5662000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5662000</v>
      </c>
    </row>
    <row r="160" spans="1:9" x14ac:dyDescent="0.2">
      <c r="A160" s="22" t="s">
        <v>36</v>
      </c>
      <c r="B160" s="137">
        <f>'DOE25'!F499</f>
        <v>2199436.42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2199436.42</v>
      </c>
    </row>
    <row r="161" spans="1:7" x14ac:dyDescent="0.2">
      <c r="A161" s="22" t="s">
        <v>37</v>
      </c>
      <c r="B161" s="137">
        <f>'DOE25'!F500</f>
        <v>7861436.4199999999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7861436.4199999999</v>
      </c>
    </row>
    <row r="162" spans="1:7" x14ac:dyDescent="0.2">
      <c r="A162" s="22" t="s">
        <v>38</v>
      </c>
      <c r="B162" s="137">
        <f>'DOE25'!F501</f>
        <v>180000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180000</v>
      </c>
    </row>
    <row r="163" spans="1:7" x14ac:dyDescent="0.2">
      <c r="A163" s="22" t="s">
        <v>39</v>
      </c>
      <c r="B163" s="137">
        <f>'DOE25'!F502</f>
        <v>215899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215899</v>
      </c>
    </row>
    <row r="164" spans="1:7" x14ac:dyDescent="0.2">
      <c r="A164" s="22" t="s">
        <v>246</v>
      </c>
      <c r="B164" s="137">
        <f>'DOE25'!F503</f>
        <v>395899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395899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6" t="s">
        <v>717</v>
      </c>
      <c r="B2" s="185" t="str">
        <f>'DOE25'!A2</f>
        <v>Hanover School District</v>
      </c>
    </row>
    <row r="3" spans="1:4" x14ac:dyDescent="0.2">
      <c r="B3" s="187" t="s">
        <v>902</v>
      </c>
    </row>
    <row r="4" spans="1:4" x14ac:dyDescent="0.2">
      <c r="B4" t="s">
        <v>61</v>
      </c>
      <c r="C4" s="178">
        <f>IF('DOE25'!F665+'DOE25'!F670=0,0,ROUND('DOE25'!F672,0))</f>
        <v>19924</v>
      </c>
    </row>
    <row r="5" spans="1:4" x14ac:dyDescent="0.2">
      <c r="B5" t="s">
        <v>704</v>
      </c>
      <c r="C5" s="178">
        <f>IF('DOE25'!G665+'DOE25'!G670=0,0,ROUND('DOE25'!G672,0))</f>
        <v>0</v>
      </c>
    </row>
    <row r="6" spans="1:4" x14ac:dyDescent="0.2">
      <c r="B6" t="s">
        <v>62</v>
      </c>
      <c r="C6" s="178">
        <f>IF('DOE25'!H665+'DOE25'!H670=0,0,ROUND('DOE25'!H672,0))</f>
        <v>0</v>
      </c>
    </row>
    <row r="7" spans="1:4" x14ac:dyDescent="0.2">
      <c r="B7" t="s">
        <v>705</v>
      </c>
      <c r="C7" s="178">
        <f>IF('DOE25'!I665+'DOE25'!I670=0,0,ROUND('DOE25'!I672,0))</f>
        <v>19924</v>
      </c>
    </row>
    <row r="9" spans="1:4" x14ac:dyDescent="0.2">
      <c r="A9" s="186" t="s">
        <v>94</v>
      </c>
      <c r="B9" s="187" t="s">
        <v>903</v>
      </c>
      <c r="C9" s="180" t="s">
        <v>724</v>
      </c>
      <c r="D9" s="180" t="s">
        <v>725</v>
      </c>
    </row>
    <row r="10" spans="1:4" x14ac:dyDescent="0.2">
      <c r="A10">
        <v>1100</v>
      </c>
      <c r="B10" t="s">
        <v>706</v>
      </c>
      <c r="C10" s="178">
        <f>ROUND('DOE25'!L197+'DOE25'!L215+'DOE25'!L233+'DOE25'!L276+'DOE25'!L295+'DOE25'!L314,0)</f>
        <v>6832648</v>
      </c>
      <c r="D10" s="181">
        <f>ROUND((C10/$C$28)*100,1)</f>
        <v>50.9</v>
      </c>
    </row>
    <row r="11" spans="1:4" x14ac:dyDescent="0.2">
      <c r="A11">
        <v>1200</v>
      </c>
      <c r="B11" t="s">
        <v>707</v>
      </c>
      <c r="C11" s="178">
        <f>ROUND('DOE25'!L198+'DOE25'!L216+'DOE25'!L234+'DOE25'!L277+'DOE25'!L296+'DOE25'!L315,0)</f>
        <v>3574272</v>
      </c>
      <c r="D11" s="181">
        <f>ROUND((C11/$C$28)*100,1)</f>
        <v>26.6</v>
      </c>
    </row>
    <row r="12" spans="1:4" x14ac:dyDescent="0.2">
      <c r="A12">
        <v>1300</v>
      </c>
      <c r="B12" t="s">
        <v>708</v>
      </c>
      <c r="C12" s="178">
        <f>ROUND('DOE25'!L199+'DOE25'!L217+'DOE25'!L235+'DOE25'!L278+'DOE25'!L297+'DOE25'!L316,0)</f>
        <v>0</v>
      </c>
      <c r="D12" s="181">
        <f>ROUND((C12/$C$28)*100,1)</f>
        <v>0</v>
      </c>
    </row>
    <row r="13" spans="1:4" x14ac:dyDescent="0.2">
      <c r="A13">
        <v>1400</v>
      </c>
      <c r="B13" t="s">
        <v>709</v>
      </c>
      <c r="C13" s="178">
        <f>ROUND('DOE25'!L200+'DOE25'!L218+'DOE25'!L236+'DOE25'!L279+'DOE25'!L298+'DOE25'!L317,0)</f>
        <v>0</v>
      </c>
      <c r="D13" s="181">
        <f>ROUND((C13/$C$28)*100,1)</f>
        <v>0</v>
      </c>
    </row>
    <row r="14" spans="1:4" x14ac:dyDescent="0.2">
      <c r="D14" s="181"/>
    </row>
    <row r="15" spans="1:4" x14ac:dyDescent="0.2">
      <c r="A15">
        <v>2100</v>
      </c>
      <c r="B15" t="s">
        <v>710</v>
      </c>
      <c r="C15" s="178">
        <f>ROUND('DOE25'!L202+'DOE25'!L220+'DOE25'!L238+'DOE25'!L281+'DOE25'!L300+'DOE25'!L319,0)</f>
        <v>272040</v>
      </c>
      <c r="D15" s="181">
        <f t="shared" ref="D15:D27" si="0">ROUND((C15/$C$28)*100,1)</f>
        <v>2</v>
      </c>
    </row>
    <row r="16" spans="1:4" x14ac:dyDescent="0.2">
      <c r="A16">
        <v>2200</v>
      </c>
      <c r="B16" t="s">
        <v>711</v>
      </c>
      <c r="C16" s="178">
        <f>ROUND('DOE25'!L203+'DOE25'!L221+'DOE25'!L239+'DOE25'!L282+'DOE25'!L301+'DOE25'!L320,0)</f>
        <v>251371</v>
      </c>
      <c r="D16" s="181">
        <f t="shared" si="0"/>
        <v>1.9</v>
      </c>
    </row>
    <row r="17" spans="1:4" x14ac:dyDescent="0.2">
      <c r="A17" s="182" t="s">
        <v>727</v>
      </c>
      <c r="B17" t="s">
        <v>742</v>
      </c>
      <c r="C17" s="178">
        <f>ROUND('DOE25'!L204+'DOE25'!L209+'DOE25'!L222+'DOE25'!L227+'DOE25'!L240+'DOE25'!L245+'DOE25'!L283+'DOE25'!L288+'DOE25'!L302+'DOE25'!L307+'DOE25'!L321+'DOE25'!L326,0)</f>
        <v>407132</v>
      </c>
      <c r="D17" s="181">
        <f t="shared" si="0"/>
        <v>3</v>
      </c>
    </row>
    <row r="18" spans="1:4" x14ac:dyDescent="0.2">
      <c r="A18">
        <v>2400</v>
      </c>
      <c r="B18" t="s">
        <v>715</v>
      </c>
      <c r="C18" s="178">
        <f>ROUND('DOE25'!L205+'DOE25'!L223+'DOE25'!L241+'DOE25'!L284+'DOE25'!L303+'DOE25'!L322,0)</f>
        <v>667119</v>
      </c>
      <c r="D18" s="181">
        <f t="shared" si="0"/>
        <v>5</v>
      </c>
    </row>
    <row r="19" spans="1:4" x14ac:dyDescent="0.2">
      <c r="A19">
        <v>2500</v>
      </c>
      <c r="B19" t="s">
        <v>712</v>
      </c>
      <c r="C19" s="178">
        <f>ROUND('DOE25'!L206+'DOE25'!L224+'DOE25'!L242+'DOE25'!L285+'DOE25'!L304+'DOE25'!L323,0)</f>
        <v>0</v>
      </c>
      <c r="D19" s="181">
        <f t="shared" si="0"/>
        <v>0</v>
      </c>
    </row>
    <row r="20" spans="1:4" x14ac:dyDescent="0.2">
      <c r="A20">
        <v>2600</v>
      </c>
      <c r="B20" t="s">
        <v>713</v>
      </c>
      <c r="C20" s="178">
        <f>ROUND('DOE25'!L207+'DOE25'!L225+'DOE25'!L243+'DOE25'!L286+'DOE25'!L305+'DOE25'!L324,0)</f>
        <v>565733</v>
      </c>
      <c r="D20" s="181">
        <f t="shared" si="0"/>
        <v>4.2</v>
      </c>
    </row>
    <row r="21" spans="1:4" x14ac:dyDescent="0.2">
      <c r="A21">
        <v>2700</v>
      </c>
      <c r="B21" t="s">
        <v>714</v>
      </c>
      <c r="C21" s="178">
        <f>ROUND('DOE25'!L208+'DOE25'!L226+'DOE25'!L244+'DOE25'!L287+'DOE25'!L306+'DOE25'!L325,0)</f>
        <v>563341</v>
      </c>
      <c r="D21" s="181">
        <f t="shared" si="0"/>
        <v>4.2</v>
      </c>
    </row>
    <row r="22" spans="1:4" x14ac:dyDescent="0.2">
      <c r="A22">
        <v>2900</v>
      </c>
      <c r="B22" t="s">
        <v>716</v>
      </c>
      <c r="C22" s="178">
        <v>0</v>
      </c>
      <c r="D22" s="181">
        <f t="shared" si="0"/>
        <v>0</v>
      </c>
    </row>
    <row r="23" spans="1:4" x14ac:dyDescent="0.2">
      <c r="A23">
        <v>1500</v>
      </c>
      <c r="B23" t="s">
        <v>718</v>
      </c>
      <c r="C23" s="178">
        <f>ROUND('DOE25'!L250+'DOE25'!L332,0)</f>
        <v>0</v>
      </c>
      <c r="D23" s="181">
        <f t="shared" si="0"/>
        <v>0</v>
      </c>
    </row>
    <row r="24" spans="1:4" x14ac:dyDescent="0.2">
      <c r="A24" s="182" t="s">
        <v>726</v>
      </c>
      <c r="B24" t="s">
        <v>719</v>
      </c>
      <c r="C24" s="178">
        <f>ROUND('DOE25'!L251+'DOE25'!L252+'DOE25'!L253+'DOE25'!L254+'DOE25'!L333+'DOE25'!L334+'DOE25'!L335,0)</f>
        <v>0</v>
      </c>
      <c r="D24" s="181">
        <f t="shared" si="0"/>
        <v>0</v>
      </c>
    </row>
    <row r="25" spans="1:4" x14ac:dyDescent="0.2">
      <c r="A25">
        <v>5120</v>
      </c>
      <c r="B25" t="s">
        <v>720</v>
      </c>
      <c r="C25" s="178">
        <f>ROUND('DOE25'!L261+'DOE25'!L342,0)</f>
        <v>255022</v>
      </c>
      <c r="D25" s="181">
        <f t="shared" si="0"/>
        <v>1.9</v>
      </c>
    </row>
    <row r="26" spans="1:4" x14ac:dyDescent="0.2">
      <c r="A26" s="182" t="s">
        <v>721</v>
      </c>
      <c r="B26" t="s">
        <v>722</v>
      </c>
      <c r="C26" s="178">
        <f>'DOE25'!L268+'DOE25'!L269+'DOE25'!L349+'DOE25'!L350</f>
        <v>0</v>
      </c>
      <c r="D26" s="181">
        <f t="shared" si="0"/>
        <v>0</v>
      </c>
    </row>
    <row r="27" spans="1:4" x14ac:dyDescent="0.2">
      <c r="A27">
        <v>3100</v>
      </c>
      <c r="B27" t="s">
        <v>11</v>
      </c>
      <c r="C27" s="178">
        <f>ROUND('DOE25'!L362-'DOE25'!L361,0)-SUM('DOE25'!G97:G110)</f>
        <v>28424.200000000012</v>
      </c>
      <c r="D27" s="181">
        <f t="shared" si="0"/>
        <v>0.2</v>
      </c>
    </row>
    <row r="28" spans="1:4" x14ac:dyDescent="0.2">
      <c r="B28" s="186" t="s">
        <v>723</v>
      </c>
      <c r="C28" s="179">
        <f>SUM(C10:C27)</f>
        <v>13417102.199999999</v>
      </c>
      <c r="D28" s="183">
        <f>ROUND(SUM(D10:D27),0)</f>
        <v>100</v>
      </c>
    </row>
    <row r="29" spans="1:4" x14ac:dyDescent="0.2">
      <c r="A29">
        <v>4000</v>
      </c>
      <c r="B29" t="s">
        <v>728</v>
      </c>
      <c r="C29" s="178">
        <f>ROUND('DOE25'!L255+'DOE25'!L336+'DOE25'!L374+'DOE25'!L375+'DOE25'!L376+'DOE25'!L377+'DOE25'!L378+'DOE25'!L379+'DOE25'!L380,0)</f>
        <v>1340166</v>
      </c>
    </row>
    <row r="30" spans="1:4" x14ac:dyDescent="0.2">
      <c r="B30" s="186" t="s">
        <v>729</v>
      </c>
      <c r="C30" s="179">
        <f>SUM(C28:C29)</f>
        <v>14757268.199999999</v>
      </c>
    </row>
    <row r="31" spans="1:4" x14ac:dyDescent="0.2">
      <c r="B31" s="33"/>
      <c r="C31" s="179"/>
    </row>
    <row r="32" spans="1:4" x14ac:dyDescent="0.2">
      <c r="A32">
        <v>5100</v>
      </c>
      <c r="B32" s="33" t="s">
        <v>730</v>
      </c>
      <c r="C32" s="179">
        <f>ROUND('DOE25'!L260+'DOE25'!L341,0)</f>
        <v>136000</v>
      </c>
    </row>
    <row r="34" spans="1:4" x14ac:dyDescent="0.2">
      <c r="A34" s="186" t="s">
        <v>94</v>
      </c>
      <c r="B34" s="187" t="s">
        <v>904</v>
      </c>
      <c r="C34" s="180" t="s">
        <v>724</v>
      </c>
      <c r="D34" s="180" t="s">
        <v>725</v>
      </c>
    </row>
    <row r="35" spans="1:4" x14ac:dyDescent="0.2">
      <c r="A35">
        <v>1100</v>
      </c>
      <c r="B35" s="184" t="s">
        <v>731</v>
      </c>
      <c r="C35" s="178">
        <f>ROUND('DOE25'!F60+'DOE25'!G60+'DOE25'!H60+'DOE25'!I60+'DOE25'!J60,0)</f>
        <v>10492901</v>
      </c>
      <c r="D35" s="181">
        <f t="shared" ref="D35:D40" si="1">ROUND((C35/$C$41)*100,1)</f>
        <v>75.5</v>
      </c>
    </row>
    <row r="36" spans="1:4" x14ac:dyDescent="0.2">
      <c r="B36" s="184" t="s">
        <v>743</v>
      </c>
      <c r="C36" s="178">
        <f>SUM('DOE25'!F112:J112)-SUM('DOE25'!G97:G110)+('DOE25'!F174+'DOE25'!F175+'DOE25'!I174+'DOE25'!I175)-C35</f>
        <v>273627.56000000052</v>
      </c>
      <c r="D36" s="181">
        <f t="shared" si="1"/>
        <v>2</v>
      </c>
    </row>
    <row r="37" spans="1:4" x14ac:dyDescent="0.2">
      <c r="A37" s="182" t="s">
        <v>851</v>
      </c>
      <c r="B37" s="184" t="s">
        <v>732</v>
      </c>
      <c r="C37" s="178">
        <f>ROUND('DOE25'!F117+'DOE25'!F118,0)</f>
        <v>2278464</v>
      </c>
      <c r="D37" s="181">
        <f t="shared" si="1"/>
        <v>16.399999999999999</v>
      </c>
    </row>
    <row r="38" spans="1:4" x14ac:dyDescent="0.2">
      <c r="A38" s="182" t="s">
        <v>738</v>
      </c>
      <c r="B38" s="184" t="s">
        <v>733</v>
      </c>
      <c r="C38" s="178">
        <f>ROUND(SUM('DOE25'!F140:J140)-SUM('DOE25'!F117:F119),0)</f>
        <v>631826</v>
      </c>
      <c r="D38" s="181">
        <f t="shared" si="1"/>
        <v>4.5</v>
      </c>
    </row>
    <row r="39" spans="1:4" x14ac:dyDescent="0.2">
      <c r="A39">
        <v>4000</v>
      </c>
      <c r="B39" s="184" t="s">
        <v>734</v>
      </c>
      <c r="C39" s="178">
        <f>ROUND('DOE25'!F169+'DOE25'!G169+'DOE25'!H169+'DOE25'!I169,0)</f>
        <v>226540</v>
      </c>
      <c r="D39" s="181">
        <f t="shared" si="1"/>
        <v>1.6</v>
      </c>
    </row>
    <row r="40" spans="1:4" x14ac:dyDescent="0.2">
      <c r="A40" s="182" t="s">
        <v>739</v>
      </c>
      <c r="B40" s="184" t="s">
        <v>735</v>
      </c>
      <c r="C40" s="178">
        <f>ROUND(SUM('DOE25'!F189:F191)+SUM('DOE25'!G189:G191)+SUM('DOE25'!H189:H191)+SUM('DOE25'!I189:I191),0)</f>
        <v>0</v>
      </c>
      <c r="D40" s="181">
        <f t="shared" si="1"/>
        <v>0</v>
      </c>
    </row>
    <row r="41" spans="1:4" x14ac:dyDescent="0.2">
      <c r="B41" s="186" t="s">
        <v>736</v>
      </c>
      <c r="C41" s="179">
        <f>SUM(C35:C40)</f>
        <v>13903358.560000001</v>
      </c>
      <c r="D41" s="183">
        <f>SUM(D35:D40)</f>
        <v>100</v>
      </c>
    </row>
    <row r="42" spans="1:4" x14ac:dyDescent="0.2">
      <c r="A42" s="182" t="s">
        <v>741</v>
      </c>
      <c r="B42" s="184" t="s">
        <v>737</v>
      </c>
      <c r="C42" s="178">
        <f>ROUND('DOE25'!F173+'DOE25'!I173+'DOE25'!F176+'DOE25'!I176,0)</f>
        <v>61625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2"/>
      <c r="K1" s="212"/>
      <c r="L1" s="212"/>
      <c r="M1" s="213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Hanover School District</v>
      </c>
      <c r="G2" s="299"/>
      <c r="H2" s="299"/>
      <c r="I2" s="299"/>
      <c r="J2" s="52"/>
      <c r="K2" s="52"/>
      <c r="L2" s="52"/>
      <c r="M2" s="214"/>
    </row>
    <row r="3" spans="1:26" x14ac:dyDescent="0.2">
      <c r="A3" s="215" t="s">
        <v>768</v>
      </c>
      <c r="B3" s="216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7"/>
      <c r="B4" s="218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7"/>
      <c r="B5" s="218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7"/>
      <c r="B6" s="218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7"/>
      <c r="B7" s="218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7"/>
      <c r="B8" s="218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7"/>
      <c r="B9" s="218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7"/>
      <c r="B10" s="218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7"/>
      <c r="B11" s="218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7"/>
      <c r="B12" s="218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7"/>
      <c r="B13" s="218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7"/>
      <c r="B14" s="218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7"/>
      <c r="B15" s="218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7"/>
      <c r="B16" s="218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7"/>
      <c r="B17" s="218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7"/>
      <c r="B18" s="218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7"/>
      <c r="B19" s="218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7"/>
      <c r="B20" s="218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7"/>
      <c r="B21" s="218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7"/>
      <c r="B22" s="218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7"/>
      <c r="B23" s="218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7"/>
      <c r="B24" s="218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7"/>
      <c r="B25" s="218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7"/>
      <c r="B26" s="218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7"/>
      <c r="B27" s="218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7"/>
      <c r="B28" s="218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7"/>
      <c r="B29" s="218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0"/>
      <c r="O29" s="210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6"/>
      <c r="AB29" s="206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6"/>
      <c r="AO29" s="206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6"/>
      <c r="BB29" s="206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6"/>
      <c r="BO29" s="206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6"/>
      <c r="CB29" s="206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6"/>
      <c r="CO29" s="206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6"/>
      <c r="DB29" s="206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6"/>
      <c r="DO29" s="206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6"/>
      <c r="EB29" s="206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6"/>
      <c r="EO29" s="206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6"/>
      <c r="FB29" s="206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6"/>
      <c r="FO29" s="206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6"/>
      <c r="GB29" s="206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6"/>
      <c r="GO29" s="206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6"/>
      <c r="HB29" s="206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6"/>
      <c r="HO29" s="206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6"/>
      <c r="IB29" s="206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6"/>
      <c r="IO29" s="206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7"/>
      <c r="B30" s="218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0"/>
      <c r="O30" s="210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6"/>
      <c r="AB30" s="206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6"/>
      <c r="AO30" s="206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6"/>
      <c r="BB30" s="206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6"/>
      <c r="BO30" s="206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6"/>
      <c r="CB30" s="206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6"/>
      <c r="CO30" s="206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6"/>
      <c r="DB30" s="206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6"/>
      <c r="DO30" s="206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6"/>
      <c r="EB30" s="206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6"/>
      <c r="EO30" s="206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6"/>
      <c r="FB30" s="206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6"/>
      <c r="FO30" s="206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6"/>
      <c r="GB30" s="206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6"/>
      <c r="GO30" s="206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6"/>
      <c r="HB30" s="206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6"/>
      <c r="HO30" s="206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6"/>
      <c r="IB30" s="206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6"/>
      <c r="IO30" s="206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7"/>
      <c r="B31" s="218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0"/>
      <c r="O31" s="210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6"/>
      <c r="AB31" s="206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6"/>
      <c r="AO31" s="206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6"/>
      <c r="BB31" s="206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6"/>
      <c r="BO31" s="206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6"/>
      <c r="CB31" s="206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6"/>
      <c r="CO31" s="206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6"/>
      <c r="DB31" s="206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6"/>
      <c r="DO31" s="206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6"/>
      <c r="EB31" s="206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6"/>
      <c r="EO31" s="206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6"/>
      <c r="FB31" s="206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6"/>
      <c r="FO31" s="206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6"/>
      <c r="GB31" s="206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6"/>
      <c r="GO31" s="206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6"/>
      <c r="HB31" s="206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6"/>
      <c r="HO31" s="206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6"/>
      <c r="IB31" s="206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6"/>
      <c r="IO31" s="206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7"/>
      <c r="B32" s="218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2"/>
      <c r="O32" s="222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7"/>
      <c r="AB32" s="218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7"/>
      <c r="AO32" s="218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7"/>
      <c r="BB32" s="218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7"/>
      <c r="BO32" s="218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7"/>
      <c r="CB32" s="218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7"/>
      <c r="CO32" s="218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7"/>
      <c r="DB32" s="218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7"/>
      <c r="DO32" s="218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7"/>
      <c r="EB32" s="218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7"/>
      <c r="EO32" s="218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7"/>
      <c r="FB32" s="218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7"/>
      <c r="FO32" s="218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7"/>
      <c r="GB32" s="218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7"/>
      <c r="GO32" s="218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7"/>
      <c r="HB32" s="218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7"/>
      <c r="HO32" s="218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7"/>
      <c r="IB32" s="218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7"/>
      <c r="IO32" s="218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7"/>
      <c r="B33" s="218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0"/>
      <c r="O33" s="210"/>
      <c r="P33" s="221"/>
      <c r="Q33" s="221"/>
      <c r="R33" s="221"/>
      <c r="S33" s="221"/>
      <c r="T33" s="221"/>
      <c r="U33" s="221"/>
      <c r="V33" s="221"/>
      <c r="W33" s="221"/>
      <c r="X33" s="221"/>
      <c r="Y33" s="221"/>
      <c r="Z33" s="221"/>
      <c r="AA33" s="206"/>
      <c r="AB33" s="206"/>
      <c r="AC33" s="211"/>
      <c r="AD33" s="211"/>
      <c r="AE33" s="211"/>
      <c r="AF33" s="211"/>
      <c r="AG33" s="211"/>
      <c r="AH33" s="211"/>
      <c r="AI33" s="211"/>
      <c r="AJ33" s="211"/>
      <c r="AK33" s="211"/>
      <c r="AL33" s="211"/>
      <c r="AM33" s="211"/>
      <c r="AN33" s="206"/>
      <c r="AO33" s="206"/>
      <c r="AP33" s="211"/>
      <c r="AQ33" s="211"/>
      <c r="AR33" s="211"/>
      <c r="AS33" s="211"/>
      <c r="AT33" s="211"/>
      <c r="AU33" s="211"/>
      <c r="AV33" s="211"/>
      <c r="AW33" s="211"/>
      <c r="AX33" s="211"/>
      <c r="AY33" s="211"/>
      <c r="AZ33" s="211"/>
      <c r="BA33" s="206"/>
      <c r="BB33" s="206"/>
      <c r="BC33" s="211"/>
      <c r="BD33" s="211"/>
      <c r="BE33" s="211"/>
      <c r="BF33" s="211"/>
      <c r="BG33" s="211"/>
      <c r="BH33" s="211"/>
      <c r="BI33" s="211"/>
      <c r="BJ33" s="211"/>
      <c r="BK33" s="211"/>
      <c r="BL33" s="211"/>
      <c r="BM33" s="211"/>
      <c r="BN33" s="206"/>
      <c r="BO33" s="206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06"/>
      <c r="CB33" s="206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06"/>
      <c r="CO33" s="206"/>
      <c r="CP33" s="211"/>
      <c r="CQ33" s="211"/>
      <c r="CR33" s="211"/>
      <c r="CS33" s="211"/>
      <c r="CT33" s="211"/>
      <c r="CU33" s="211"/>
      <c r="CV33" s="211"/>
      <c r="CW33" s="211"/>
      <c r="CX33" s="211"/>
      <c r="CY33" s="211"/>
      <c r="CZ33" s="211"/>
      <c r="DA33" s="206"/>
      <c r="DB33" s="206"/>
      <c r="DC33" s="211"/>
      <c r="DD33" s="211"/>
      <c r="DE33" s="211"/>
      <c r="DF33" s="211"/>
      <c r="DG33" s="211"/>
      <c r="DH33" s="211"/>
      <c r="DI33" s="211"/>
      <c r="DJ33" s="211"/>
      <c r="DK33" s="211"/>
      <c r="DL33" s="211"/>
      <c r="DM33" s="211"/>
      <c r="DN33" s="206"/>
      <c r="DO33" s="206"/>
      <c r="DP33" s="211"/>
      <c r="DQ33" s="211"/>
      <c r="DR33" s="211"/>
      <c r="DS33" s="211"/>
      <c r="DT33" s="211"/>
      <c r="DU33" s="211"/>
      <c r="DV33" s="211"/>
      <c r="DW33" s="211"/>
      <c r="DX33" s="211"/>
      <c r="DY33" s="211"/>
      <c r="DZ33" s="211"/>
      <c r="EA33" s="206"/>
      <c r="EB33" s="206"/>
      <c r="EC33" s="211"/>
      <c r="ED33" s="211"/>
      <c r="EE33" s="211"/>
      <c r="EF33" s="211"/>
      <c r="EG33" s="211"/>
      <c r="EH33" s="211"/>
      <c r="EI33" s="211"/>
      <c r="EJ33" s="211"/>
      <c r="EK33" s="211"/>
      <c r="EL33" s="211"/>
      <c r="EM33" s="211"/>
      <c r="EN33" s="206"/>
      <c r="EO33" s="206"/>
      <c r="EP33" s="211"/>
      <c r="EQ33" s="211"/>
      <c r="ER33" s="211"/>
      <c r="ES33" s="211"/>
      <c r="ET33" s="211"/>
      <c r="EU33" s="211"/>
      <c r="EV33" s="211"/>
      <c r="EW33" s="211"/>
      <c r="EX33" s="211"/>
      <c r="EY33" s="211"/>
      <c r="EZ33" s="211"/>
      <c r="FA33" s="206"/>
      <c r="FB33" s="206"/>
      <c r="FC33" s="211"/>
      <c r="FD33" s="211"/>
      <c r="FE33" s="211"/>
      <c r="FF33" s="211"/>
      <c r="FG33" s="211"/>
      <c r="FH33" s="211"/>
      <c r="FI33" s="211"/>
      <c r="FJ33" s="211"/>
      <c r="FK33" s="211"/>
      <c r="FL33" s="211"/>
      <c r="FM33" s="211"/>
      <c r="FN33" s="206"/>
      <c r="FO33" s="206"/>
      <c r="FP33" s="211"/>
      <c r="FQ33" s="211"/>
      <c r="FR33" s="211"/>
      <c r="FS33" s="211"/>
      <c r="FT33" s="211"/>
      <c r="FU33" s="211"/>
      <c r="FV33" s="211"/>
      <c r="FW33" s="211"/>
      <c r="FX33" s="211"/>
      <c r="FY33" s="211"/>
      <c r="FZ33" s="211"/>
      <c r="GA33" s="206"/>
      <c r="GB33" s="206"/>
      <c r="GC33" s="211"/>
      <c r="GD33" s="211"/>
      <c r="GE33" s="211"/>
      <c r="GF33" s="211"/>
      <c r="GG33" s="211"/>
      <c r="GH33" s="211"/>
      <c r="GI33" s="211"/>
      <c r="GJ33" s="211"/>
      <c r="GK33" s="211"/>
      <c r="GL33" s="211"/>
      <c r="GM33" s="211"/>
      <c r="GN33" s="206"/>
      <c r="GO33" s="206"/>
      <c r="GP33" s="211"/>
      <c r="GQ33" s="211"/>
      <c r="GR33" s="211"/>
      <c r="GS33" s="211"/>
      <c r="GT33" s="211"/>
      <c r="GU33" s="211"/>
      <c r="GV33" s="211"/>
      <c r="GW33" s="211"/>
      <c r="GX33" s="211"/>
      <c r="GY33" s="211"/>
      <c r="GZ33" s="211"/>
      <c r="HA33" s="206"/>
      <c r="HB33" s="206"/>
      <c r="HC33" s="211"/>
      <c r="HD33" s="211"/>
      <c r="HE33" s="211"/>
      <c r="HF33" s="211"/>
      <c r="HG33" s="211"/>
      <c r="HH33" s="211"/>
      <c r="HI33" s="211"/>
      <c r="HJ33" s="211"/>
      <c r="HK33" s="211"/>
      <c r="HL33" s="211"/>
      <c r="HM33" s="211"/>
      <c r="HN33" s="206"/>
      <c r="HO33" s="206"/>
      <c r="HP33" s="211"/>
      <c r="HQ33" s="211"/>
      <c r="HR33" s="211"/>
      <c r="HS33" s="211"/>
      <c r="HT33" s="211"/>
      <c r="HU33" s="211"/>
      <c r="HV33" s="211"/>
      <c r="HW33" s="211"/>
      <c r="HX33" s="211"/>
      <c r="HY33" s="211"/>
      <c r="HZ33" s="211"/>
      <c r="IA33" s="206"/>
      <c r="IB33" s="206"/>
      <c r="IC33" s="211"/>
      <c r="ID33" s="211"/>
      <c r="IE33" s="211"/>
      <c r="IF33" s="211"/>
      <c r="IG33" s="211"/>
      <c r="IH33" s="211"/>
      <c r="II33" s="211"/>
      <c r="IJ33" s="211"/>
      <c r="IK33" s="211"/>
      <c r="IL33" s="211"/>
      <c r="IM33" s="211"/>
      <c r="IN33" s="206"/>
      <c r="IO33" s="206"/>
      <c r="IP33" s="211"/>
      <c r="IQ33" s="211"/>
      <c r="IR33" s="211"/>
      <c r="IS33" s="211"/>
      <c r="IT33" s="211"/>
      <c r="IU33" s="211"/>
      <c r="IV33" s="211"/>
    </row>
    <row r="34" spans="1:256" x14ac:dyDescent="0.2">
      <c r="A34" s="217"/>
      <c r="B34" s="218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0"/>
      <c r="O34" s="210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06"/>
      <c r="AB34" s="206"/>
      <c r="AC34" s="211"/>
      <c r="AD34" s="211"/>
      <c r="AE34" s="211"/>
      <c r="AF34" s="211"/>
      <c r="AG34" s="211"/>
      <c r="AH34" s="211"/>
      <c r="AI34" s="211"/>
      <c r="AJ34" s="211"/>
      <c r="AK34" s="211"/>
      <c r="AL34" s="211"/>
      <c r="AM34" s="211"/>
      <c r="AN34" s="206"/>
      <c r="AO34" s="206"/>
      <c r="AP34" s="211"/>
      <c r="AQ34" s="211"/>
      <c r="AR34" s="211"/>
      <c r="AS34" s="211"/>
      <c r="AT34" s="211"/>
      <c r="AU34" s="211"/>
      <c r="AV34" s="211"/>
      <c r="AW34" s="211"/>
      <c r="AX34" s="211"/>
      <c r="AY34" s="211"/>
      <c r="AZ34" s="211"/>
      <c r="BA34" s="206"/>
      <c r="BB34" s="206"/>
      <c r="BC34" s="211"/>
      <c r="BD34" s="211"/>
      <c r="BE34" s="211"/>
      <c r="BF34" s="211"/>
      <c r="BG34" s="211"/>
      <c r="BH34" s="211"/>
      <c r="BI34" s="211"/>
      <c r="BJ34" s="211"/>
      <c r="BK34" s="211"/>
      <c r="BL34" s="211"/>
      <c r="BM34" s="211"/>
      <c r="BN34" s="206"/>
      <c r="BO34" s="206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06"/>
      <c r="CB34" s="206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06"/>
      <c r="CO34" s="206"/>
      <c r="CP34" s="211"/>
      <c r="CQ34" s="211"/>
      <c r="CR34" s="211"/>
      <c r="CS34" s="211"/>
      <c r="CT34" s="211"/>
      <c r="CU34" s="211"/>
      <c r="CV34" s="211"/>
      <c r="CW34" s="211"/>
      <c r="CX34" s="211"/>
      <c r="CY34" s="211"/>
      <c r="CZ34" s="211"/>
      <c r="DA34" s="206"/>
      <c r="DB34" s="206"/>
      <c r="DC34" s="211"/>
      <c r="DD34" s="211"/>
      <c r="DE34" s="211"/>
      <c r="DF34" s="211"/>
      <c r="DG34" s="211"/>
      <c r="DH34" s="211"/>
      <c r="DI34" s="211"/>
      <c r="DJ34" s="211"/>
      <c r="DK34" s="211"/>
      <c r="DL34" s="211"/>
      <c r="DM34" s="211"/>
      <c r="DN34" s="206"/>
      <c r="DO34" s="206"/>
      <c r="DP34" s="211"/>
      <c r="DQ34" s="211"/>
      <c r="DR34" s="211"/>
      <c r="DS34" s="211"/>
      <c r="DT34" s="211"/>
      <c r="DU34" s="211"/>
      <c r="DV34" s="211"/>
      <c r="DW34" s="211"/>
      <c r="DX34" s="211"/>
      <c r="DY34" s="211"/>
      <c r="DZ34" s="211"/>
      <c r="EA34" s="206"/>
      <c r="EB34" s="206"/>
      <c r="EC34" s="211"/>
      <c r="ED34" s="211"/>
      <c r="EE34" s="211"/>
      <c r="EF34" s="211"/>
      <c r="EG34" s="211"/>
      <c r="EH34" s="211"/>
      <c r="EI34" s="211"/>
      <c r="EJ34" s="211"/>
      <c r="EK34" s="211"/>
      <c r="EL34" s="211"/>
      <c r="EM34" s="211"/>
      <c r="EN34" s="206"/>
      <c r="EO34" s="206"/>
      <c r="EP34" s="211"/>
      <c r="EQ34" s="211"/>
      <c r="ER34" s="211"/>
      <c r="ES34" s="211"/>
      <c r="ET34" s="211"/>
      <c r="EU34" s="211"/>
      <c r="EV34" s="211"/>
      <c r="EW34" s="211"/>
      <c r="EX34" s="211"/>
      <c r="EY34" s="211"/>
      <c r="EZ34" s="211"/>
      <c r="FA34" s="206"/>
      <c r="FB34" s="206"/>
      <c r="FC34" s="211"/>
      <c r="FD34" s="211"/>
      <c r="FE34" s="211"/>
      <c r="FF34" s="211"/>
      <c r="FG34" s="211"/>
      <c r="FH34" s="211"/>
      <c r="FI34" s="211"/>
      <c r="FJ34" s="211"/>
      <c r="FK34" s="211"/>
      <c r="FL34" s="211"/>
      <c r="FM34" s="211"/>
      <c r="FN34" s="206"/>
      <c r="FO34" s="206"/>
      <c r="FP34" s="211"/>
      <c r="FQ34" s="211"/>
      <c r="FR34" s="211"/>
      <c r="FS34" s="211"/>
      <c r="FT34" s="211"/>
      <c r="FU34" s="211"/>
      <c r="FV34" s="211"/>
      <c r="FW34" s="211"/>
      <c r="FX34" s="211"/>
      <c r="FY34" s="211"/>
      <c r="FZ34" s="211"/>
      <c r="GA34" s="206"/>
      <c r="GB34" s="206"/>
      <c r="GC34" s="211"/>
      <c r="GD34" s="211"/>
      <c r="GE34" s="211"/>
      <c r="GF34" s="211"/>
      <c r="GG34" s="211"/>
      <c r="GH34" s="211"/>
      <c r="GI34" s="211"/>
      <c r="GJ34" s="211"/>
      <c r="GK34" s="211"/>
      <c r="GL34" s="211"/>
      <c r="GM34" s="211"/>
      <c r="GN34" s="206"/>
      <c r="GO34" s="206"/>
      <c r="GP34" s="211"/>
      <c r="GQ34" s="211"/>
      <c r="GR34" s="211"/>
      <c r="GS34" s="211"/>
      <c r="GT34" s="211"/>
      <c r="GU34" s="211"/>
      <c r="GV34" s="211"/>
      <c r="GW34" s="211"/>
      <c r="GX34" s="211"/>
      <c r="GY34" s="211"/>
      <c r="GZ34" s="211"/>
      <c r="HA34" s="206"/>
      <c r="HB34" s="206"/>
      <c r="HC34" s="211"/>
      <c r="HD34" s="211"/>
      <c r="HE34" s="211"/>
      <c r="HF34" s="211"/>
      <c r="HG34" s="211"/>
      <c r="HH34" s="211"/>
      <c r="HI34" s="211"/>
      <c r="HJ34" s="211"/>
      <c r="HK34" s="211"/>
      <c r="HL34" s="211"/>
      <c r="HM34" s="211"/>
      <c r="HN34" s="206"/>
      <c r="HO34" s="206"/>
      <c r="HP34" s="211"/>
      <c r="HQ34" s="211"/>
      <c r="HR34" s="211"/>
      <c r="HS34" s="211"/>
      <c r="HT34" s="211"/>
      <c r="HU34" s="211"/>
      <c r="HV34" s="211"/>
      <c r="HW34" s="211"/>
      <c r="HX34" s="211"/>
      <c r="HY34" s="211"/>
      <c r="HZ34" s="211"/>
      <c r="IA34" s="206"/>
      <c r="IB34" s="206"/>
      <c r="IC34" s="211"/>
      <c r="ID34" s="211"/>
      <c r="IE34" s="211"/>
      <c r="IF34" s="211"/>
      <c r="IG34" s="211"/>
      <c r="IH34" s="211"/>
      <c r="II34" s="211"/>
      <c r="IJ34" s="211"/>
      <c r="IK34" s="211"/>
      <c r="IL34" s="211"/>
      <c r="IM34" s="211"/>
      <c r="IN34" s="206"/>
      <c r="IO34" s="206"/>
      <c r="IP34" s="211"/>
      <c r="IQ34" s="211"/>
      <c r="IR34" s="211"/>
      <c r="IS34" s="211"/>
      <c r="IT34" s="211"/>
      <c r="IU34" s="211"/>
      <c r="IV34" s="211"/>
    </row>
    <row r="35" spans="1:256" x14ac:dyDescent="0.2">
      <c r="A35" s="217"/>
      <c r="B35" s="218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0"/>
      <c r="O35" s="210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06"/>
      <c r="AB35" s="206"/>
      <c r="AC35" s="211"/>
      <c r="AD35" s="211"/>
      <c r="AE35" s="211"/>
      <c r="AF35" s="211"/>
      <c r="AG35" s="211"/>
      <c r="AH35" s="211"/>
      <c r="AI35" s="211"/>
      <c r="AJ35" s="211"/>
      <c r="AK35" s="211"/>
      <c r="AL35" s="211"/>
      <c r="AM35" s="211"/>
      <c r="AN35" s="206"/>
      <c r="AO35" s="206"/>
      <c r="AP35" s="211"/>
      <c r="AQ35" s="211"/>
      <c r="AR35" s="211"/>
      <c r="AS35" s="211"/>
      <c r="AT35" s="211"/>
      <c r="AU35" s="211"/>
      <c r="AV35" s="211"/>
      <c r="AW35" s="211"/>
      <c r="AX35" s="211"/>
      <c r="AY35" s="211"/>
      <c r="AZ35" s="211"/>
      <c r="BA35" s="206"/>
      <c r="BB35" s="206"/>
      <c r="BC35" s="211"/>
      <c r="BD35" s="211"/>
      <c r="BE35" s="211"/>
      <c r="BF35" s="211"/>
      <c r="BG35" s="211"/>
      <c r="BH35" s="211"/>
      <c r="BI35" s="211"/>
      <c r="BJ35" s="211"/>
      <c r="BK35" s="211"/>
      <c r="BL35" s="211"/>
      <c r="BM35" s="211"/>
      <c r="BN35" s="206"/>
      <c r="BO35" s="206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06"/>
      <c r="CB35" s="206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06"/>
      <c r="CO35" s="206"/>
      <c r="CP35" s="211"/>
      <c r="CQ35" s="211"/>
      <c r="CR35" s="211"/>
      <c r="CS35" s="211"/>
      <c r="CT35" s="211"/>
      <c r="CU35" s="211"/>
      <c r="CV35" s="211"/>
      <c r="CW35" s="211"/>
      <c r="CX35" s="211"/>
      <c r="CY35" s="211"/>
      <c r="CZ35" s="211"/>
      <c r="DA35" s="206"/>
      <c r="DB35" s="206"/>
      <c r="DC35" s="211"/>
      <c r="DD35" s="211"/>
      <c r="DE35" s="211"/>
      <c r="DF35" s="211"/>
      <c r="DG35" s="211"/>
      <c r="DH35" s="211"/>
      <c r="DI35" s="211"/>
      <c r="DJ35" s="211"/>
      <c r="DK35" s="211"/>
      <c r="DL35" s="211"/>
      <c r="DM35" s="211"/>
      <c r="DN35" s="206"/>
      <c r="DO35" s="206"/>
      <c r="DP35" s="211"/>
      <c r="DQ35" s="211"/>
      <c r="DR35" s="211"/>
      <c r="DS35" s="211"/>
      <c r="DT35" s="211"/>
      <c r="DU35" s="211"/>
      <c r="DV35" s="211"/>
      <c r="DW35" s="211"/>
      <c r="DX35" s="211"/>
      <c r="DY35" s="211"/>
      <c r="DZ35" s="211"/>
      <c r="EA35" s="206"/>
      <c r="EB35" s="206"/>
      <c r="EC35" s="211"/>
      <c r="ED35" s="211"/>
      <c r="EE35" s="211"/>
      <c r="EF35" s="211"/>
      <c r="EG35" s="211"/>
      <c r="EH35" s="211"/>
      <c r="EI35" s="211"/>
      <c r="EJ35" s="211"/>
      <c r="EK35" s="211"/>
      <c r="EL35" s="211"/>
      <c r="EM35" s="211"/>
      <c r="EN35" s="206"/>
      <c r="EO35" s="206"/>
      <c r="EP35" s="211"/>
      <c r="EQ35" s="211"/>
      <c r="ER35" s="211"/>
      <c r="ES35" s="211"/>
      <c r="ET35" s="211"/>
      <c r="EU35" s="211"/>
      <c r="EV35" s="211"/>
      <c r="EW35" s="211"/>
      <c r="EX35" s="211"/>
      <c r="EY35" s="211"/>
      <c r="EZ35" s="211"/>
      <c r="FA35" s="206"/>
      <c r="FB35" s="206"/>
      <c r="FC35" s="211"/>
      <c r="FD35" s="211"/>
      <c r="FE35" s="211"/>
      <c r="FF35" s="211"/>
      <c r="FG35" s="211"/>
      <c r="FH35" s="211"/>
      <c r="FI35" s="211"/>
      <c r="FJ35" s="211"/>
      <c r="FK35" s="211"/>
      <c r="FL35" s="211"/>
      <c r="FM35" s="211"/>
      <c r="FN35" s="206"/>
      <c r="FO35" s="206"/>
      <c r="FP35" s="211"/>
      <c r="FQ35" s="211"/>
      <c r="FR35" s="211"/>
      <c r="FS35" s="211"/>
      <c r="FT35" s="211"/>
      <c r="FU35" s="211"/>
      <c r="FV35" s="211"/>
      <c r="FW35" s="211"/>
      <c r="FX35" s="211"/>
      <c r="FY35" s="211"/>
      <c r="FZ35" s="211"/>
      <c r="GA35" s="206"/>
      <c r="GB35" s="206"/>
      <c r="GC35" s="211"/>
      <c r="GD35" s="211"/>
      <c r="GE35" s="211"/>
      <c r="GF35" s="211"/>
      <c r="GG35" s="211"/>
      <c r="GH35" s="211"/>
      <c r="GI35" s="211"/>
      <c r="GJ35" s="211"/>
      <c r="GK35" s="211"/>
      <c r="GL35" s="211"/>
      <c r="GM35" s="211"/>
      <c r="GN35" s="206"/>
      <c r="GO35" s="206"/>
      <c r="GP35" s="211"/>
      <c r="GQ35" s="211"/>
      <c r="GR35" s="211"/>
      <c r="GS35" s="211"/>
      <c r="GT35" s="211"/>
      <c r="GU35" s="211"/>
      <c r="GV35" s="211"/>
      <c r="GW35" s="211"/>
      <c r="GX35" s="211"/>
      <c r="GY35" s="211"/>
      <c r="GZ35" s="211"/>
      <c r="HA35" s="206"/>
      <c r="HB35" s="206"/>
      <c r="HC35" s="211"/>
      <c r="HD35" s="211"/>
      <c r="HE35" s="211"/>
      <c r="HF35" s="211"/>
      <c r="HG35" s="211"/>
      <c r="HH35" s="211"/>
      <c r="HI35" s="211"/>
      <c r="HJ35" s="211"/>
      <c r="HK35" s="211"/>
      <c r="HL35" s="211"/>
      <c r="HM35" s="211"/>
      <c r="HN35" s="206"/>
      <c r="HO35" s="206"/>
      <c r="HP35" s="211"/>
      <c r="HQ35" s="211"/>
      <c r="HR35" s="211"/>
      <c r="HS35" s="211"/>
      <c r="HT35" s="211"/>
      <c r="HU35" s="211"/>
      <c r="HV35" s="211"/>
      <c r="HW35" s="211"/>
      <c r="HX35" s="211"/>
      <c r="HY35" s="211"/>
      <c r="HZ35" s="211"/>
      <c r="IA35" s="206"/>
      <c r="IB35" s="206"/>
      <c r="IC35" s="211"/>
      <c r="ID35" s="211"/>
      <c r="IE35" s="211"/>
      <c r="IF35" s="211"/>
      <c r="IG35" s="211"/>
      <c r="IH35" s="211"/>
      <c r="II35" s="211"/>
      <c r="IJ35" s="211"/>
      <c r="IK35" s="211"/>
      <c r="IL35" s="211"/>
      <c r="IM35" s="211"/>
      <c r="IN35" s="206"/>
      <c r="IO35" s="206"/>
      <c r="IP35" s="211"/>
      <c r="IQ35" s="211"/>
      <c r="IR35" s="211"/>
      <c r="IS35" s="211"/>
      <c r="IT35" s="211"/>
      <c r="IU35" s="211"/>
      <c r="IV35" s="211"/>
    </row>
    <row r="36" spans="1:256" x14ac:dyDescent="0.2">
      <c r="A36" s="217"/>
      <c r="B36" s="218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0"/>
      <c r="O36" s="210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06"/>
      <c r="AB36" s="206"/>
      <c r="AC36" s="211"/>
      <c r="AD36" s="211"/>
      <c r="AE36" s="211"/>
      <c r="AF36" s="211"/>
      <c r="AG36" s="211"/>
      <c r="AH36" s="211"/>
      <c r="AI36" s="211"/>
      <c r="AJ36" s="211"/>
      <c r="AK36" s="211"/>
      <c r="AL36" s="211"/>
      <c r="AM36" s="211"/>
      <c r="AN36" s="206"/>
      <c r="AO36" s="206"/>
      <c r="AP36" s="211"/>
      <c r="AQ36" s="211"/>
      <c r="AR36" s="211"/>
      <c r="AS36" s="211"/>
      <c r="AT36" s="211"/>
      <c r="AU36" s="211"/>
      <c r="AV36" s="211"/>
      <c r="AW36" s="211"/>
      <c r="AX36" s="211"/>
      <c r="AY36" s="211"/>
      <c r="AZ36" s="211"/>
      <c r="BA36" s="206"/>
      <c r="BB36" s="206"/>
      <c r="BC36" s="211"/>
      <c r="BD36" s="211"/>
      <c r="BE36" s="211"/>
      <c r="BF36" s="211"/>
      <c r="BG36" s="211"/>
      <c r="BH36" s="211"/>
      <c r="BI36" s="211"/>
      <c r="BJ36" s="211"/>
      <c r="BK36" s="211"/>
      <c r="BL36" s="211"/>
      <c r="BM36" s="211"/>
      <c r="BN36" s="206"/>
      <c r="BO36" s="206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06"/>
      <c r="CB36" s="206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06"/>
      <c r="CO36" s="206"/>
      <c r="CP36" s="211"/>
      <c r="CQ36" s="211"/>
      <c r="CR36" s="211"/>
      <c r="CS36" s="211"/>
      <c r="CT36" s="211"/>
      <c r="CU36" s="211"/>
      <c r="CV36" s="211"/>
      <c r="CW36" s="211"/>
      <c r="CX36" s="211"/>
      <c r="CY36" s="211"/>
      <c r="CZ36" s="211"/>
      <c r="DA36" s="206"/>
      <c r="DB36" s="206"/>
      <c r="DC36" s="211"/>
      <c r="DD36" s="211"/>
      <c r="DE36" s="211"/>
      <c r="DF36" s="211"/>
      <c r="DG36" s="211"/>
      <c r="DH36" s="211"/>
      <c r="DI36" s="211"/>
      <c r="DJ36" s="211"/>
      <c r="DK36" s="211"/>
      <c r="DL36" s="211"/>
      <c r="DM36" s="211"/>
      <c r="DN36" s="206"/>
      <c r="DO36" s="206"/>
      <c r="DP36" s="211"/>
      <c r="DQ36" s="211"/>
      <c r="DR36" s="211"/>
      <c r="DS36" s="211"/>
      <c r="DT36" s="211"/>
      <c r="DU36" s="211"/>
      <c r="DV36" s="211"/>
      <c r="DW36" s="211"/>
      <c r="DX36" s="211"/>
      <c r="DY36" s="211"/>
      <c r="DZ36" s="211"/>
      <c r="EA36" s="206"/>
      <c r="EB36" s="206"/>
      <c r="EC36" s="211"/>
      <c r="ED36" s="211"/>
      <c r="EE36" s="211"/>
      <c r="EF36" s="211"/>
      <c r="EG36" s="211"/>
      <c r="EH36" s="211"/>
      <c r="EI36" s="211"/>
      <c r="EJ36" s="211"/>
      <c r="EK36" s="211"/>
      <c r="EL36" s="211"/>
      <c r="EM36" s="211"/>
      <c r="EN36" s="206"/>
      <c r="EO36" s="206"/>
      <c r="EP36" s="211"/>
      <c r="EQ36" s="211"/>
      <c r="ER36" s="211"/>
      <c r="ES36" s="211"/>
      <c r="ET36" s="211"/>
      <c r="EU36" s="211"/>
      <c r="EV36" s="211"/>
      <c r="EW36" s="211"/>
      <c r="EX36" s="211"/>
      <c r="EY36" s="211"/>
      <c r="EZ36" s="211"/>
      <c r="FA36" s="206"/>
      <c r="FB36" s="206"/>
      <c r="FC36" s="211"/>
      <c r="FD36" s="211"/>
      <c r="FE36" s="211"/>
      <c r="FF36" s="211"/>
      <c r="FG36" s="211"/>
      <c r="FH36" s="211"/>
      <c r="FI36" s="211"/>
      <c r="FJ36" s="211"/>
      <c r="FK36" s="211"/>
      <c r="FL36" s="211"/>
      <c r="FM36" s="211"/>
      <c r="FN36" s="206"/>
      <c r="FO36" s="206"/>
      <c r="FP36" s="211"/>
      <c r="FQ36" s="211"/>
      <c r="FR36" s="211"/>
      <c r="FS36" s="211"/>
      <c r="FT36" s="211"/>
      <c r="FU36" s="211"/>
      <c r="FV36" s="211"/>
      <c r="FW36" s="211"/>
      <c r="FX36" s="211"/>
      <c r="FY36" s="211"/>
      <c r="FZ36" s="211"/>
      <c r="GA36" s="206"/>
      <c r="GB36" s="206"/>
      <c r="GC36" s="211"/>
      <c r="GD36" s="211"/>
      <c r="GE36" s="211"/>
      <c r="GF36" s="211"/>
      <c r="GG36" s="211"/>
      <c r="GH36" s="211"/>
      <c r="GI36" s="211"/>
      <c r="GJ36" s="211"/>
      <c r="GK36" s="211"/>
      <c r="GL36" s="211"/>
      <c r="GM36" s="211"/>
      <c r="GN36" s="206"/>
      <c r="GO36" s="206"/>
      <c r="GP36" s="211"/>
      <c r="GQ36" s="211"/>
      <c r="GR36" s="211"/>
      <c r="GS36" s="211"/>
      <c r="GT36" s="211"/>
      <c r="GU36" s="211"/>
      <c r="GV36" s="211"/>
      <c r="GW36" s="211"/>
      <c r="GX36" s="211"/>
      <c r="GY36" s="211"/>
      <c r="GZ36" s="211"/>
      <c r="HA36" s="206"/>
      <c r="HB36" s="206"/>
      <c r="HC36" s="211"/>
      <c r="HD36" s="211"/>
      <c r="HE36" s="211"/>
      <c r="HF36" s="211"/>
      <c r="HG36" s="211"/>
      <c r="HH36" s="211"/>
      <c r="HI36" s="211"/>
      <c r="HJ36" s="211"/>
      <c r="HK36" s="211"/>
      <c r="HL36" s="211"/>
      <c r="HM36" s="211"/>
      <c r="HN36" s="206"/>
      <c r="HO36" s="206"/>
      <c r="HP36" s="211"/>
      <c r="HQ36" s="211"/>
      <c r="HR36" s="211"/>
      <c r="HS36" s="211"/>
      <c r="HT36" s="211"/>
      <c r="HU36" s="211"/>
      <c r="HV36" s="211"/>
      <c r="HW36" s="211"/>
      <c r="HX36" s="211"/>
      <c r="HY36" s="211"/>
      <c r="HZ36" s="211"/>
      <c r="IA36" s="206"/>
      <c r="IB36" s="206"/>
      <c r="IC36" s="211"/>
      <c r="ID36" s="211"/>
      <c r="IE36" s="211"/>
      <c r="IF36" s="211"/>
      <c r="IG36" s="211"/>
      <c r="IH36" s="211"/>
      <c r="II36" s="211"/>
      <c r="IJ36" s="211"/>
      <c r="IK36" s="211"/>
      <c r="IL36" s="211"/>
      <c r="IM36" s="211"/>
      <c r="IN36" s="206"/>
      <c r="IO36" s="206"/>
      <c r="IP36" s="211"/>
      <c r="IQ36" s="211"/>
      <c r="IR36" s="211"/>
      <c r="IS36" s="211"/>
      <c r="IT36" s="211"/>
      <c r="IU36" s="211"/>
      <c r="IV36" s="211"/>
    </row>
    <row r="37" spans="1:256" x14ac:dyDescent="0.2">
      <c r="A37" s="217"/>
      <c r="B37" s="218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0"/>
      <c r="O37" s="210"/>
      <c r="P37" s="221"/>
      <c r="Q37" s="221"/>
      <c r="R37" s="221"/>
      <c r="S37" s="221"/>
      <c r="T37" s="221"/>
      <c r="U37" s="221"/>
      <c r="V37" s="221"/>
      <c r="W37" s="221"/>
      <c r="X37" s="221"/>
      <c r="Y37" s="221"/>
      <c r="Z37" s="221"/>
      <c r="AA37" s="206"/>
      <c r="AB37" s="206"/>
      <c r="AC37" s="211"/>
      <c r="AD37" s="211"/>
      <c r="AE37" s="211"/>
      <c r="AF37" s="211"/>
      <c r="AG37" s="211"/>
      <c r="AH37" s="211"/>
      <c r="AI37" s="211"/>
      <c r="AJ37" s="211"/>
      <c r="AK37" s="211"/>
      <c r="AL37" s="211"/>
      <c r="AM37" s="211"/>
      <c r="AN37" s="206"/>
      <c r="AO37" s="206"/>
      <c r="AP37" s="211"/>
      <c r="AQ37" s="211"/>
      <c r="AR37" s="211"/>
      <c r="AS37" s="211"/>
      <c r="AT37" s="211"/>
      <c r="AU37" s="211"/>
      <c r="AV37" s="211"/>
      <c r="AW37" s="211"/>
      <c r="AX37" s="211"/>
      <c r="AY37" s="211"/>
      <c r="AZ37" s="211"/>
      <c r="BA37" s="206"/>
      <c r="BB37" s="206"/>
      <c r="BC37" s="211"/>
      <c r="BD37" s="211"/>
      <c r="BE37" s="211"/>
      <c r="BF37" s="211"/>
      <c r="BG37" s="211"/>
      <c r="BH37" s="211"/>
      <c r="BI37" s="211"/>
      <c r="BJ37" s="211"/>
      <c r="BK37" s="211"/>
      <c r="BL37" s="211"/>
      <c r="BM37" s="211"/>
      <c r="BN37" s="206"/>
      <c r="BO37" s="206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06"/>
      <c r="CB37" s="206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06"/>
      <c r="CO37" s="206"/>
      <c r="CP37" s="211"/>
      <c r="CQ37" s="211"/>
      <c r="CR37" s="211"/>
      <c r="CS37" s="211"/>
      <c r="CT37" s="211"/>
      <c r="CU37" s="211"/>
      <c r="CV37" s="211"/>
      <c r="CW37" s="211"/>
      <c r="CX37" s="211"/>
      <c r="CY37" s="211"/>
      <c r="CZ37" s="211"/>
      <c r="DA37" s="206"/>
      <c r="DB37" s="206"/>
      <c r="DC37" s="211"/>
      <c r="DD37" s="211"/>
      <c r="DE37" s="211"/>
      <c r="DF37" s="211"/>
      <c r="DG37" s="211"/>
      <c r="DH37" s="211"/>
      <c r="DI37" s="211"/>
      <c r="DJ37" s="211"/>
      <c r="DK37" s="211"/>
      <c r="DL37" s="211"/>
      <c r="DM37" s="211"/>
      <c r="DN37" s="206"/>
      <c r="DO37" s="206"/>
      <c r="DP37" s="211"/>
      <c r="DQ37" s="211"/>
      <c r="DR37" s="211"/>
      <c r="DS37" s="211"/>
      <c r="DT37" s="211"/>
      <c r="DU37" s="211"/>
      <c r="DV37" s="211"/>
      <c r="DW37" s="211"/>
      <c r="DX37" s="211"/>
      <c r="DY37" s="211"/>
      <c r="DZ37" s="211"/>
      <c r="EA37" s="206"/>
      <c r="EB37" s="206"/>
      <c r="EC37" s="211"/>
      <c r="ED37" s="211"/>
      <c r="EE37" s="211"/>
      <c r="EF37" s="211"/>
      <c r="EG37" s="211"/>
      <c r="EH37" s="211"/>
      <c r="EI37" s="211"/>
      <c r="EJ37" s="211"/>
      <c r="EK37" s="211"/>
      <c r="EL37" s="211"/>
      <c r="EM37" s="211"/>
      <c r="EN37" s="206"/>
      <c r="EO37" s="206"/>
      <c r="EP37" s="211"/>
      <c r="EQ37" s="211"/>
      <c r="ER37" s="211"/>
      <c r="ES37" s="211"/>
      <c r="ET37" s="211"/>
      <c r="EU37" s="211"/>
      <c r="EV37" s="211"/>
      <c r="EW37" s="211"/>
      <c r="EX37" s="211"/>
      <c r="EY37" s="211"/>
      <c r="EZ37" s="211"/>
      <c r="FA37" s="206"/>
      <c r="FB37" s="206"/>
      <c r="FC37" s="211"/>
      <c r="FD37" s="211"/>
      <c r="FE37" s="211"/>
      <c r="FF37" s="211"/>
      <c r="FG37" s="211"/>
      <c r="FH37" s="211"/>
      <c r="FI37" s="211"/>
      <c r="FJ37" s="211"/>
      <c r="FK37" s="211"/>
      <c r="FL37" s="211"/>
      <c r="FM37" s="211"/>
      <c r="FN37" s="206"/>
      <c r="FO37" s="206"/>
      <c r="FP37" s="211"/>
      <c r="FQ37" s="211"/>
      <c r="FR37" s="211"/>
      <c r="FS37" s="211"/>
      <c r="FT37" s="211"/>
      <c r="FU37" s="211"/>
      <c r="FV37" s="211"/>
      <c r="FW37" s="211"/>
      <c r="FX37" s="211"/>
      <c r="FY37" s="211"/>
      <c r="FZ37" s="211"/>
      <c r="GA37" s="206"/>
      <c r="GB37" s="206"/>
      <c r="GC37" s="211"/>
      <c r="GD37" s="211"/>
      <c r="GE37" s="211"/>
      <c r="GF37" s="211"/>
      <c r="GG37" s="211"/>
      <c r="GH37" s="211"/>
      <c r="GI37" s="211"/>
      <c r="GJ37" s="211"/>
      <c r="GK37" s="211"/>
      <c r="GL37" s="211"/>
      <c r="GM37" s="211"/>
      <c r="GN37" s="206"/>
      <c r="GO37" s="206"/>
      <c r="GP37" s="211"/>
      <c r="GQ37" s="211"/>
      <c r="GR37" s="211"/>
      <c r="GS37" s="211"/>
      <c r="GT37" s="211"/>
      <c r="GU37" s="211"/>
      <c r="GV37" s="211"/>
      <c r="GW37" s="211"/>
      <c r="GX37" s="211"/>
      <c r="GY37" s="211"/>
      <c r="GZ37" s="211"/>
      <c r="HA37" s="206"/>
      <c r="HB37" s="206"/>
      <c r="HC37" s="211"/>
      <c r="HD37" s="211"/>
      <c r="HE37" s="211"/>
      <c r="HF37" s="211"/>
      <c r="HG37" s="211"/>
      <c r="HH37" s="211"/>
      <c r="HI37" s="211"/>
      <c r="HJ37" s="211"/>
      <c r="HK37" s="211"/>
      <c r="HL37" s="211"/>
      <c r="HM37" s="211"/>
      <c r="HN37" s="206"/>
      <c r="HO37" s="206"/>
      <c r="HP37" s="211"/>
      <c r="HQ37" s="211"/>
      <c r="HR37" s="211"/>
      <c r="HS37" s="211"/>
      <c r="HT37" s="211"/>
      <c r="HU37" s="211"/>
      <c r="HV37" s="211"/>
      <c r="HW37" s="211"/>
      <c r="HX37" s="211"/>
      <c r="HY37" s="211"/>
      <c r="HZ37" s="211"/>
      <c r="IA37" s="206"/>
      <c r="IB37" s="206"/>
      <c r="IC37" s="211"/>
      <c r="ID37" s="211"/>
      <c r="IE37" s="211"/>
      <c r="IF37" s="211"/>
      <c r="IG37" s="211"/>
      <c r="IH37" s="211"/>
      <c r="II37" s="211"/>
      <c r="IJ37" s="211"/>
      <c r="IK37" s="211"/>
      <c r="IL37" s="211"/>
      <c r="IM37" s="211"/>
      <c r="IN37" s="206"/>
      <c r="IO37" s="206"/>
      <c r="IP37" s="211"/>
      <c r="IQ37" s="211"/>
      <c r="IR37" s="211"/>
      <c r="IS37" s="211"/>
      <c r="IT37" s="211"/>
      <c r="IU37" s="211"/>
      <c r="IV37" s="211"/>
    </row>
    <row r="38" spans="1:256" x14ac:dyDescent="0.2">
      <c r="A38" s="217"/>
      <c r="B38" s="218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0"/>
      <c r="O38" s="210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6"/>
      <c r="AB38" s="206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6"/>
      <c r="AO38" s="206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6"/>
      <c r="BB38" s="206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6"/>
      <c r="BO38" s="206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6"/>
      <c r="CB38" s="206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6"/>
      <c r="CO38" s="206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6"/>
      <c r="DB38" s="206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6"/>
      <c r="DO38" s="206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6"/>
      <c r="EB38" s="206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6"/>
      <c r="EO38" s="206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6"/>
      <c r="FB38" s="206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6"/>
      <c r="FO38" s="206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6"/>
      <c r="GB38" s="206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6"/>
      <c r="GO38" s="206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6"/>
      <c r="HB38" s="206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6"/>
      <c r="HO38" s="206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6"/>
      <c r="IB38" s="206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6"/>
      <c r="IO38" s="206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7"/>
      <c r="B39" s="218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0"/>
      <c r="O39" s="210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6"/>
      <c r="AB39" s="206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6"/>
      <c r="AO39" s="206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6"/>
      <c r="BB39" s="206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6"/>
      <c r="BO39" s="206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6"/>
      <c r="CB39" s="206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6"/>
      <c r="CO39" s="206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6"/>
      <c r="DB39" s="206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6"/>
      <c r="DO39" s="206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6"/>
      <c r="EB39" s="206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6"/>
      <c r="EO39" s="206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6"/>
      <c r="FB39" s="206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6"/>
      <c r="FO39" s="206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6"/>
      <c r="GB39" s="206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6"/>
      <c r="GO39" s="206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6"/>
      <c r="HB39" s="206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6"/>
      <c r="HO39" s="206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6"/>
      <c r="IB39" s="206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6"/>
      <c r="IO39" s="206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7"/>
      <c r="B40" s="218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0"/>
      <c r="O40" s="210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6"/>
      <c r="AB40" s="206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6"/>
      <c r="AO40" s="206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6"/>
      <c r="BB40" s="206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6"/>
      <c r="BO40" s="206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6"/>
      <c r="CB40" s="206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6"/>
      <c r="CO40" s="206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6"/>
      <c r="DB40" s="206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6"/>
      <c r="DO40" s="206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6"/>
      <c r="EB40" s="206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6"/>
      <c r="EO40" s="206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6"/>
      <c r="FB40" s="206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6"/>
      <c r="FO40" s="206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6"/>
      <c r="GB40" s="206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6"/>
      <c r="GO40" s="206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6"/>
      <c r="HB40" s="206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6"/>
      <c r="HO40" s="206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6"/>
      <c r="IB40" s="206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6"/>
      <c r="IO40" s="206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7"/>
      <c r="B41" s="218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0"/>
      <c r="O41" s="210"/>
      <c r="P41" s="221"/>
      <c r="Q41" s="221"/>
      <c r="R41" s="221"/>
      <c r="S41" s="221"/>
      <c r="T41" s="221"/>
      <c r="U41" s="221"/>
      <c r="V41" s="221"/>
      <c r="W41" s="221"/>
      <c r="X41" s="221"/>
      <c r="Y41" s="221"/>
      <c r="Z41" s="221"/>
      <c r="AA41" s="206"/>
      <c r="AB41" s="206"/>
      <c r="AC41" s="211"/>
      <c r="AD41" s="211"/>
      <c r="AE41" s="211"/>
      <c r="AF41" s="211"/>
      <c r="AG41" s="211"/>
      <c r="AH41" s="211"/>
      <c r="AI41" s="211"/>
      <c r="AJ41" s="211"/>
      <c r="AK41" s="211"/>
      <c r="AL41" s="211"/>
      <c r="AM41" s="211"/>
      <c r="AN41" s="206"/>
      <c r="AO41" s="206"/>
      <c r="AP41" s="211"/>
      <c r="AQ41" s="211"/>
      <c r="AR41" s="211"/>
      <c r="AS41" s="211"/>
      <c r="AT41" s="211"/>
      <c r="AU41" s="211"/>
      <c r="AV41" s="211"/>
      <c r="AW41" s="211"/>
      <c r="AX41" s="211"/>
      <c r="AY41" s="211"/>
      <c r="AZ41" s="211"/>
      <c r="BA41" s="206"/>
      <c r="BB41" s="206"/>
      <c r="BC41" s="211"/>
      <c r="BD41" s="211"/>
      <c r="BE41" s="211"/>
      <c r="BF41" s="211"/>
      <c r="BG41" s="211"/>
      <c r="BH41" s="211"/>
      <c r="BI41" s="211"/>
      <c r="BJ41" s="211"/>
      <c r="BK41" s="211"/>
      <c r="BL41" s="211"/>
      <c r="BM41" s="211"/>
      <c r="BN41" s="206"/>
      <c r="BO41" s="206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06"/>
      <c r="CB41" s="206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06"/>
      <c r="CO41" s="206"/>
      <c r="CP41" s="211"/>
      <c r="CQ41" s="211"/>
      <c r="CR41" s="211"/>
      <c r="CS41" s="211"/>
      <c r="CT41" s="211"/>
      <c r="CU41" s="211"/>
      <c r="CV41" s="211"/>
      <c r="CW41" s="211"/>
      <c r="CX41" s="211"/>
      <c r="CY41" s="211"/>
      <c r="CZ41" s="211"/>
      <c r="DA41" s="206"/>
      <c r="DB41" s="206"/>
      <c r="DC41" s="211"/>
      <c r="DD41" s="211"/>
      <c r="DE41" s="211"/>
      <c r="DF41" s="211"/>
      <c r="DG41" s="211"/>
      <c r="DH41" s="211"/>
      <c r="DI41" s="211"/>
      <c r="DJ41" s="211"/>
      <c r="DK41" s="211"/>
      <c r="DL41" s="211"/>
      <c r="DM41" s="211"/>
      <c r="DN41" s="206"/>
      <c r="DO41" s="206"/>
      <c r="DP41" s="211"/>
      <c r="DQ41" s="211"/>
      <c r="DR41" s="211"/>
      <c r="DS41" s="211"/>
      <c r="DT41" s="211"/>
      <c r="DU41" s="211"/>
      <c r="DV41" s="211"/>
      <c r="DW41" s="211"/>
      <c r="DX41" s="211"/>
      <c r="DY41" s="211"/>
      <c r="DZ41" s="211"/>
      <c r="EA41" s="206"/>
      <c r="EB41" s="206"/>
      <c r="EC41" s="211"/>
      <c r="ED41" s="211"/>
      <c r="EE41" s="211"/>
      <c r="EF41" s="211"/>
      <c r="EG41" s="211"/>
      <c r="EH41" s="211"/>
      <c r="EI41" s="211"/>
      <c r="EJ41" s="211"/>
      <c r="EK41" s="211"/>
      <c r="EL41" s="211"/>
      <c r="EM41" s="211"/>
      <c r="EN41" s="206"/>
      <c r="EO41" s="206"/>
      <c r="EP41" s="211"/>
      <c r="EQ41" s="211"/>
      <c r="ER41" s="211"/>
      <c r="ES41" s="211"/>
      <c r="ET41" s="211"/>
      <c r="EU41" s="211"/>
      <c r="EV41" s="211"/>
      <c r="EW41" s="211"/>
      <c r="EX41" s="211"/>
      <c r="EY41" s="211"/>
      <c r="EZ41" s="211"/>
      <c r="FA41" s="206"/>
      <c r="FB41" s="206"/>
      <c r="FC41" s="211"/>
      <c r="FD41" s="211"/>
      <c r="FE41" s="211"/>
      <c r="FF41" s="211"/>
      <c r="FG41" s="211"/>
      <c r="FH41" s="211"/>
      <c r="FI41" s="211"/>
      <c r="FJ41" s="211"/>
      <c r="FK41" s="211"/>
      <c r="FL41" s="211"/>
      <c r="FM41" s="211"/>
      <c r="FN41" s="206"/>
      <c r="FO41" s="206"/>
      <c r="FP41" s="211"/>
      <c r="FQ41" s="211"/>
      <c r="FR41" s="211"/>
      <c r="FS41" s="211"/>
      <c r="FT41" s="211"/>
      <c r="FU41" s="211"/>
      <c r="FV41" s="211"/>
      <c r="FW41" s="211"/>
      <c r="FX41" s="211"/>
      <c r="FY41" s="211"/>
      <c r="FZ41" s="211"/>
      <c r="GA41" s="206"/>
      <c r="GB41" s="206"/>
      <c r="GC41" s="211"/>
      <c r="GD41" s="211"/>
      <c r="GE41" s="211"/>
      <c r="GF41" s="211"/>
      <c r="GG41" s="211"/>
      <c r="GH41" s="211"/>
      <c r="GI41" s="211"/>
      <c r="GJ41" s="211"/>
      <c r="GK41" s="211"/>
      <c r="GL41" s="211"/>
      <c r="GM41" s="211"/>
      <c r="GN41" s="206"/>
      <c r="GO41" s="206"/>
      <c r="GP41" s="211"/>
      <c r="GQ41" s="211"/>
      <c r="GR41" s="211"/>
      <c r="GS41" s="211"/>
      <c r="GT41" s="211"/>
      <c r="GU41" s="211"/>
      <c r="GV41" s="211"/>
      <c r="GW41" s="211"/>
      <c r="GX41" s="211"/>
      <c r="GY41" s="211"/>
      <c r="GZ41" s="211"/>
      <c r="HA41" s="206"/>
      <c r="HB41" s="206"/>
      <c r="HC41" s="211"/>
      <c r="HD41" s="211"/>
      <c r="HE41" s="211"/>
      <c r="HF41" s="211"/>
      <c r="HG41" s="211"/>
      <c r="HH41" s="211"/>
      <c r="HI41" s="211"/>
      <c r="HJ41" s="211"/>
      <c r="HK41" s="211"/>
      <c r="HL41" s="211"/>
      <c r="HM41" s="211"/>
      <c r="HN41" s="206"/>
      <c r="HO41" s="206"/>
      <c r="HP41" s="211"/>
      <c r="HQ41" s="211"/>
      <c r="HR41" s="211"/>
      <c r="HS41" s="211"/>
      <c r="HT41" s="211"/>
      <c r="HU41" s="211"/>
      <c r="HV41" s="211"/>
      <c r="HW41" s="211"/>
      <c r="HX41" s="211"/>
      <c r="HY41" s="211"/>
      <c r="HZ41" s="211"/>
      <c r="IA41" s="206"/>
      <c r="IB41" s="206"/>
      <c r="IC41" s="211"/>
      <c r="ID41" s="211"/>
      <c r="IE41" s="211"/>
      <c r="IF41" s="211"/>
      <c r="IG41" s="211"/>
      <c r="IH41" s="211"/>
      <c r="II41" s="211"/>
      <c r="IJ41" s="211"/>
      <c r="IK41" s="211"/>
      <c r="IL41" s="211"/>
      <c r="IM41" s="211"/>
      <c r="IN41" s="206"/>
      <c r="IO41" s="206"/>
      <c r="IP41" s="211"/>
      <c r="IQ41" s="211"/>
      <c r="IR41" s="211"/>
      <c r="IS41" s="211"/>
      <c r="IT41" s="211"/>
      <c r="IU41" s="211"/>
      <c r="IV41" s="211"/>
    </row>
    <row r="42" spans="1:256" x14ac:dyDescent="0.2">
      <c r="A42" s="217"/>
      <c r="B42" s="218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0"/>
      <c r="O42" s="210"/>
      <c r="P42" s="221"/>
      <c r="Q42" s="221"/>
      <c r="R42" s="221"/>
      <c r="S42" s="221"/>
      <c r="T42" s="221"/>
      <c r="U42" s="221"/>
      <c r="V42" s="221"/>
      <c r="W42" s="221"/>
      <c r="X42" s="221"/>
      <c r="Y42" s="221"/>
      <c r="Z42" s="221"/>
      <c r="AA42" s="206"/>
      <c r="AB42" s="206"/>
      <c r="AC42" s="211"/>
      <c r="AD42" s="211"/>
      <c r="AE42" s="211"/>
      <c r="AF42" s="211"/>
      <c r="AG42" s="211"/>
      <c r="AH42" s="211"/>
      <c r="AI42" s="211"/>
      <c r="AJ42" s="211"/>
      <c r="AK42" s="211"/>
      <c r="AL42" s="211"/>
      <c r="AM42" s="211"/>
      <c r="AN42" s="206"/>
      <c r="AO42" s="206"/>
      <c r="AP42" s="211"/>
      <c r="AQ42" s="211"/>
      <c r="AR42" s="211"/>
      <c r="AS42" s="211"/>
      <c r="AT42" s="211"/>
      <c r="AU42" s="211"/>
      <c r="AV42" s="211"/>
      <c r="AW42" s="211"/>
      <c r="AX42" s="211"/>
      <c r="AY42" s="211"/>
      <c r="AZ42" s="211"/>
      <c r="BA42" s="206"/>
      <c r="BB42" s="206"/>
      <c r="BC42" s="211"/>
      <c r="BD42" s="211"/>
      <c r="BE42" s="211"/>
      <c r="BF42" s="211"/>
      <c r="BG42" s="211"/>
      <c r="BH42" s="211"/>
      <c r="BI42" s="211"/>
      <c r="BJ42" s="211"/>
      <c r="BK42" s="211"/>
      <c r="BL42" s="211"/>
      <c r="BM42" s="211"/>
      <c r="BN42" s="206"/>
      <c r="BO42" s="206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06"/>
      <c r="CB42" s="206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06"/>
      <c r="CO42" s="206"/>
      <c r="CP42" s="211"/>
      <c r="CQ42" s="211"/>
      <c r="CR42" s="211"/>
      <c r="CS42" s="211"/>
      <c r="CT42" s="211"/>
      <c r="CU42" s="211"/>
      <c r="CV42" s="211"/>
      <c r="CW42" s="211"/>
      <c r="CX42" s="211"/>
      <c r="CY42" s="211"/>
      <c r="CZ42" s="211"/>
      <c r="DA42" s="206"/>
      <c r="DB42" s="206"/>
      <c r="DC42" s="211"/>
      <c r="DD42" s="211"/>
      <c r="DE42" s="211"/>
      <c r="DF42" s="211"/>
      <c r="DG42" s="211"/>
      <c r="DH42" s="211"/>
      <c r="DI42" s="211"/>
      <c r="DJ42" s="211"/>
      <c r="DK42" s="211"/>
      <c r="DL42" s="211"/>
      <c r="DM42" s="211"/>
      <c r="DN42" s="206"/>
      <c r="DO42" s="206"/>
      <c r="DP42" s="211"/>
      <c r="DQ42" s="211"/>
      <c r="DR42" s="211"/>
      <c r="DS42" s="211"/>
      <c r="DT42" s="211"/>
      <c r="DU42" s="211"/>
      <c r="DV42" s="211"/>
      <c r="DW42" s="211"/>
      <c r="DX42" s="211"/>
      <c r="DY42" s="211"/>
      <c r="DZ42" s="211"/>
      <c r="EA42" s="206"/>
      <c r="EB42" s="206"/>
      <c r="EC42" s="211"/>
      <c r="ED42" s="211"/>
      <c r="EE42" s="211"/>
      <c r="EF42" s="211"/>
      <c r="EG42" s="211"/>
      <c r="EH42" s="211"/>
      <c r="EI42" s="211"/>
      <c r="EJ42" s="211"/>
      <c r="EK42" s="211"/>
      <c r="EL42" s="211"/>
      <c r="EM42" s="211"/>
      <c r="EN42" s="206"/>
      <c r="EO42" s="206"/>
      <c r="EP42" s="211"/>
      <c r="EQ42" s="211"/>
      <c r="ER42" s="211"/>
      <c r="ES42" s="211"/>
      <c r="ET42" s="211"/>
      <c r="EU42" s="211"/>
      <c r="EV42" s="211"/>
      <c r="EW42" s="211"/>
      <c r="EX42" s="211"/>
      <c r="EY42" s="211"/>
      <c r="EZ42" s="211"/>
      <c r="FA42" s="206"/>
      <c r="FB42" s="206"/>
      <c r="FC42" s="211"/>
      <c r="FD42" s="211"/>
      <c r="FE42" s="211"/>
      <c r="FF42" s="211"/>
      <c r="FG42" s="211"/>
      <c r="FH42" s="211"/>
      <c r="FI42" s="211"/>
      <c r="FJ42" s="211"/>
      <c r="FK42" s="211"/>
      <c r="FL42" s="211"/>
      <c r="FM42" s="211"/>
      <c r="FN42" s="206"/>
      <c r="FO42" s="206"/>
      <c r="FP42" s="211"/>
      <c r="FQ42" s="211"/>
      <c r="FR42" s="211"/>
      <c r="FS42" s="211"/>
      <c r="FT42" s="211"/>
      <c r="FU42" s="211"/>
      <c r="FV42" s="211"/>
      <c r="FW42" s="211"/>
      <c r="FX42" s="211"/>
      <c r="FY42" s="211"/>
      <c r="FZ42" s="211"/>
      <c r="GA42" s="206"/>
      <c r="GB42" s="206"/>
      <c r="GC42" s="211"/>
      <c r="GD42" s="211"/>
      <c r="GE42" s="211"/>
      <c r="GF42" s="211"/>
      <c r="GG42" s="211"/>
      <c r="GH42" s="211"/>
      <c r="GI42" s="211"/>
      <c r="GJ42" s="211"/>
      <c r="GK42" s="211"/>
      <c r="GL42" s="211"/>
      <c r="GM42" s="211"/>
      <c r="GN42" s="206"/>
      <c r="GO42" s="206"/>
      <c r="GP42" s="211"/>
      <c r="GQ42" s="211"/>
      <c r="GR42" s="211"/>
      <c r="GS42" s="211"/>
      <c r="GT42" s="211"/>
      <c r="GU42" s="211"/>
      <c r="GV42" s="211"/>
      <c r="GW42" s="211"/>
      <c r="GX42" s="211"/>
      <c r="GY42" s="211"/>
      <c r="GZ42" s="211"/>
      <c r="HA42" s="206"/>
      <c r="HB42" s="206"/>
      <c r="HC42" s="211"/>
      <c r="HD42" s="211"/>
      <c r="HE42" s="211"/>
      <c r="HF42" s="211"/>
      <c r="HG42" s="211"/>
      <c r="HH42" s="211"/>
      <c r="HI42" s="211"/>
      <c r="HJ42" s="211"/>
      <c r="HK42" s="211"/>
      <c r="HL42" s="211"/>
      <c r="HM42" s="211"/>
      <c r="HN42" s="206"/>
      <c r="HO42" s="206"/>
      <c r="HP42" s="211"/>
      <c r="HQ42" s="211"/>
      <c r="HR42" s="211"/>
      <c r="HS42" s="211"/>
      <c r="HT42" s="211"/>
      <c r="HU42" s="211"/>
      <c r="HV42" s="211"/>
      <c r="HW42" s="211"/>
      <c r="HX42" s="211"/>
      <c r="HY42" s="211"/>
      <c r="HZ42" s="211"/>
      <c r="IA42" s="206"/>
      <c r="IB42" s="206"/>
      <c r="IC42" s="211"/>
      <c r="ID42" s="211"/>
      <c r="IE42" s="211"/>
      <c r="IF42" s="211"/>
      <c r="IG42" s="211"/>
      <c r="IH42" s="211"/>
      <c r="II42" s="211"/>
      <c r="IJ42" s="211"/>
      <c r="IK42" s="211"/>
      <c r="IL42" s="211"/>
      <c r="IM42" s="211"/>
      <c r="IN42" s="206"/>
      <c r="IO42" s="206"/>
      <c r="IP42" s="211"/>
      <c r="IQ42" s="211"/>
      <c r="IR42" s="211"/>
      <c r="IS42" s="211"/>
      <c r="IT42" s="211"/>
      <c r="IU42" s="211"/>
      <c r="IV42" s="211"/>
    </row>
    <row r="43" spans="1:256" x14ac:dyDescent="0.2">
      <c r="A43" s="217"/>
      <c r="B43" s="218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0"/>
      <c r="O43" s="210"/>
      <c r="P43" s="221"/>
      <c r="Q43" s="221"/>
      <c r="R43" s="221"/>
      <c r="S43" s="221"/>
      <c r="T43" s="221"/>
      <c r="U43" s="221"/>
      <c r="V43" s="221"/>
      <c r="W43" s="221"/>
      <c r="X43" s="221"/>
      <c r="Y43" s="221"/>
      <c r="Z43" s="221"/>
      <c r="AA43" s="206"/>
      <c r="AB43" s="206"/>
      <c r="AC43" s="211"/>
      <c r="AD43" s="211"/>
      <c r="AE43" s="211"/>
      <c r="AF43" s="211"/>
      <c r="AG43" s="211"/>
      <c r="AH43" s="211"/>
      <c r="AI43" s="211"/>
      <c r="AJ43" s="211"/>
      <c r="AK43" s="211"/>
      <c r="AL43" s="211"/>
      <c r="AM43" s="211"/>
      <c r="AN43" s="206"/>
      <c r="AO43" s="206"/>
      <c r="AP43" s="211"/>
      <c r="AQ43" s="211"/>
      <c r="AR43" s="211"/>
      <c r="AS43" s="211"/>
      <c r="AT43" s="211"/>
      <c r="AU43" s="211"/>
      <c r="AV43" s="211"/>
      <c r="AW43" s="211"/>
      <c r="AX43" s="211"/>
      <c r="AY43" s="211"/>
      <c r="AZ43" s="211"/>
      <c r="BA43" s="206"/>
      <c r="BB43" s="206"/>
      <c r="BC43" s="211"/>
      <c r="BD43" s="211"/>
      <c r="BE43" s="211"/>
      <c r="BF43" s="211"/>
      <c r="BG43" s="211"/>
      <c r="BH43" s="211"/>
      <c r="BI43" s="211"/>
      <c r="BJ43" s="211"/>
      <c r="BK43" s="211"/>
      <c r="BL43" s="211"/>
      <c r="BM43" s="211"/>
      <c r="BN43" s="206"/>
      <c r="BO43" s="206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06"/>
      <c r="CB43" s="206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06"/>
      <c r="CO43" s="206"/>
      <c r="CP43" s="211"/>
      <c r="CQ43" s="211"/>
      <c r="CR43" s="211"/>
      <c r="CS43" s="211"/>
      <c r="CT43" s="211"/>
      <c r="CU43" s="211"/>
      <c r="CV43" s="211"/>
      <c r="CW43" s="211"/>
      <c r="CX43" s="211"/>
      <c r="CY43" s="211"/>
      <c r="CZ43" s="211"/>
      <c r="DA43" s="206"/>
      <c r="DB43" s="206"/>
      <c r="DC43" s="211"/>
      <c r="DD43" s="211"/>
      <c r="DE43" s="211"/>
      <c r="DF43" s="211"/>
      <c r="DG43" s="211"/>
      <c r="DH43" s="211"/>
      <c r="DI43" s="211"/>
      <c r="DJ43" s="211"/>
      <c r="DK43" s="211"/>
      <c r="DL43" s="211"/>
      <c r="DM43" s="211"/>
      <c r="DN43" s="206"/>
      <c r="DO43" s="206"/>
      <c r="DP43" s="211"/>
      <c r="DQ43" s="211"/>
      <c r="DR43" s="211"/>
      <c r="DS43" s="211"/>
      <c r="DT43" s="211"/>
      <c r="DU43" s="211"/>
      <c r="DV43" s="211"/>
      <c r="DW43" s="211"/>
      <c r="DX43" s="211"/>
      <c r="DY43" s="211"/>
      <c r="DZ43" s="211"/>
      <c r="EA43" s="206"/>
      <c r="EB43" s="206"/>
      <c r="EC43" s="211"/>
      <c r="ED43" s="211"/>
      <c r="EE43" s="211"/>
      <c r="EF43" s="211"/>
      <c r="EG43" s="211"/>
      <c r="EH43" s="211"/>
      <c r="EI43" s="211"/>
      <c r="EJ43" s="211"/>
      <c r="EK43" s="211"/>
      <c r="EL43" s="211"/>
      <c r="EM43" s="211"/>
      <c r="EN43" s="206"/>
      <c r="EO43" s="206"/>
      <c r="EP43" s="211"/>
      <c r="EQ43" s="211"/>
      <c r="ER43" s="211"/>
      <c r="ES43" s="211"/>
      <c r="ET43" s="211"/>
      <c r="EU43" s="211"/>
      <c r="EV43" s="211"/>
      <c r="EW43" s="211"/>
      <c r="EX43" s="211"/>
      <c r="EY43" s="211"/>
      <c r="EZ43" s="211"/>
      <c r="FA43" s="206"/>
      <c r="FB43" s="206"/>
      <c r="FC43" s="211"/>
      <c r="FD43" s="211"/>
      <c r="FE43" s="211"/>
      <c r="FF43" s="211"/>
      <c r="FG43" s="211"/>
      <c r="FH43" s="211"/>
      <c r="FI43" s="211"/>
      <c r="FJ43" s="211"/>
      <c r="FK43" s="211"/>
      <c r="FL43" s="211"/>
      <c r="FM43" s="211"/>
      <c r="FN43" s="206"/>
      <c r="FO43" s="206"/>
      <c r="FP43" s="211"/>
      <c r="FQ43" s="211"/>
      <c r="FR43" s="211"/>
      <c r="FS43" s="211"/>
      <c r="FT43" s="211"/>
      <c r="FU43" s="211"/>
      <c r="FV43" s="211"/>
      <c r="FW43" s="211"/>
      <c r="FX43" s="211"/>
      <c r="FY43" s="211"/>
      <c r="FZ43" s="211"/>
      <c r="GA43" s="206"/>
      <c r="GB43" s="206"/>
      <c r="GC43" s="211"/>
      <c r="GD43" s="211"/>
      <c r="GE43" s="211"/>
      <c r="GF43" s="211"/>
      <c r="GG43" s="211"/>
      <c r="GH43" s="211"/>
      <c r="GI43" s="211"/>
      <c r="GJ43" s="211"/>
      <c r="GK43" s="211"/>
      <c r="GL43" s="211"/>
      <c r="GM43" s="211"/>
      <c r="GN43" s="206"/>
      <c r="GO43" s="206"/>
      <c r="GP43" s="211"/>
      <c r="GQ43" s="211"/>
      <c r="GR43" s="211"/>
      <c r="GS43" s="211"/>
      <c r="GT43" s="211"/>
      <c r="GU43" s="211"/>
      <c r="GV43" s="211"/>
      <c r="GW43" s="211"/>
      <c r="GX43" s="211"/>
      <c r="GY43" s="211"/>
      <c r="GZ43" s="211"/>
      <c r="HA43" s="206"/>
      <c r="HB43" s="206"/>
      <c r="HC43" s="211"/>
      <c r="HD43" s="211"/>
      <c r="HE43" s="211"/>
      <c r="HF43" s="211"/>
      <c r="HG43" s="211"/>
      <c r="HH43" s="211"/>
      <c r="HI43" s="211"/>
      <c r="HJ43" s="211"/>
      <c r="HK43" s="211"/>
      <c r="HL43" s="211"/>
      <c r="HM43" s="211"/>
      <c r="HN43" s="206"/>
      <c r="HO43" s="206"/>
      <c r="HP43" s="211"/>
      <c r="HQ43" s="211"/>
      <c r="HR43" s="211"/>
      <c r="HS43" s="211"/>
      <c r="HT43" s="211"/>
      <c r="HU43" s="211"/>
      <c r="HV43" s="211"/>
      <c r="HW43" s="211"/>
      <c r="HX43" s="211"/>
      <c r="HY43" s="211"/>
      <c r="HZ43" s="211"/>
      <c r="IA43" s="206"/>
      <c r="IB43" s="206"/>
      <c r="IC43" s="211"/>
      <c r="ID43" s="211"/>
      <c r="IE43" s="211"/>
      <c r="IF43" s="211"/>
      <c r="IG43" s="211"/>
      <c r="IH43" s="211"/>
      <c r="II43" s="211"/>
      <c r="IJ43" s="211"/>
      <c r="IK43" s="211"/>
      <c r="IL43" s="211"/>
      <c r="IM43" s="211"/>
      <c r="IN43" s="206"/>
      <c r="IO43" s="206"/>
      <c r="IP43" s="211"/>
      <c r="IQ43" s="211"/>
      <c r="IR43" s="211"/>
      <c r="IS43" s="211"/>
      <c r="IT43" s="211"/>
      <c r="IU43" s="211"/>
      <c r="IV43" s="211"/>
    </row>
    <row r="44" spans="1:256" x14ac:dyDescent="0.2">
      <c r="A44" s="217"/>
      <c r="B44" s="218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0"/>
      <c r="O44" s="210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06"/>
      <c r="AB44" s="206"/>
      <c r="AC44" s="211"/>
      <c r="AD44" s="211"/>
      <c r="AE44" s="211"/>
      <c r="AF44" s="211"/>
      <c r="AG44" s="211"/>
      <c r="AH44" s="211"/>
      <c r="AI44" s="211"/>
      <c r="AJ44" s="211"/>
      <c r="AK44" s="211"/>
      <c r="AL44" s="211"/>
      <c r="AM44" s="211"/>
      <c r="AN44" s="206"/>
      <c r="AO44" s="206"/>
      <c r="AP44" s="211"/>
      <c r="AQ44" s="211"/>
      <c r="AR44" s="211"/>
      <c r="AS44" s="211"/>
      <c r="AT44" s="211"/>
      <c r="AU44" s="211"/>
      <c r="AV44" s="211"/>
      <c r="AW44" s="211"/>
      <c r="AX44" s="211"/>
      <c r="AY44" s="211"/>
      <c r="AZ44" s="211"/>
      <c r="BA44" s="206"/>
      <c r="BB44" s="206"/>
      <c r="BC44" s="211"/>
      <c r="BD44" s="211"/>
      <c r="BE44" s="211"/>
      <c r="BF44" s="211"/>
      <c r="BG44" s="211"/>
      <c r="BH44" s="211"/>
      <c r="BI44" s="211"/>
      <c r="BJ44" s="211"/>
      <c r="BK44" s="211"/>
      <c r="BL44" s="211"/>
      <c r="BM44" s="211"/>
      <c r="BN44" s="206"/>
      <c r="BO44" s="206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06"/>
      <c r="CB44" s="206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06"/>
      <c r="CO44" s="206"/>
      <c r="CP44" s="211"/>
      <c r="CQ44" s="211"/>
      <c r="CR44" s="211"/>
      <c r="CS44" s="211"/>
      <c r="CT44" s="211"/>
      <c r="CU44" s="211"/>
      <c r="CV44" s="211"/>
      <c r="CW44" s="211"/>
      <c r="CX44" s="211"/>
      <c r="CY44" s="211"/>
      <c r="CZ44" s="211"/>
      <c r="DA44" s="206"/>
      <c r="DB44" s="206"/>
      <c r="DC44" s="211"/>
      <c r="DD44" s="211"/>
      <c r="DE44" s="211"/>
      <c r="DF44" s="211"/>
      <c r="DG44" s="211"/>
      <c r="DH44" s="211"/>
      <c r="DI44" s="211"/>
      <c r="DJ44" s="211"/>
      <c r="DK44" s="211"/>
      <c r="DL44" s="211"/>
      <c r="DM44" s="211"/>
      <c r="DN44" s="206"/>
      <c r="DO44" s="206"/>
      <c r="DP44" s="211"/>
      <c r="DQ44" s="211"/>
      <c r="DR44" s="211"/>
      <c r="DS44" s="211"/>
      <c r="DT44" s="211"/>
      <c r="DU44" s="211"/>
      <c r="DV44" s="211"/>
      <c r="DW44" s="211"/>
      <c r="DX44" s="211"/>
      <c r="DY44" s="211"/>
      <c r="DZ44" s="211"/>
      <c r="EA44" s="206"/>
      <c r="EB44" s="206"/>
      <c r="EC44" s="211"/>
      <c r="ED44" s="211"/>
      <c r="EE44" s="211"/>
      <c r="EF44" s="211"/>
      <c r="EG44" s="211"/>
      <c r="EH44" s="211"/>
      <c r="EI44" s="211"/>
      <c r="EJ44" s="211"/>
      <c r="EK44" s="211"/>
      <c r="EL44" s="211"/>
      <c r="EM44" s="211"/>
      <c r="EN44" s="206"/>
      <c r="EO44" s="206"/>
      <c r="EP44" s="211"/>
      <c r="EQ44" s="211"/>
      <c r="ER44" s="211"/>
      <c r="ES44" s="211"/>
      <c r="ET44" s="211"/>
      <c r="EU44" s="211"/>
      <c r="EV44" s="211"/>
      <c r="EW44" s="211"/>
      <c r="EX44" s="211"/>
      <c r="EY44" s="211"/>
      <c r="EZ44" s="211"/>
      <c r="FA44" s="206"/>
      <c r="FB44" s="206"/>
      <c r="FC44" s="211"/>
      <c r="FD44" s="211"/>
      <c r="FE44" s="211"/>
      <c r="FF44" s="211"/>
      <c r="FG44" s="211"/>
      <c r="FH44" s="211"/>
      <c r="FI44" s="211"/>
      <c r="FJ44" s="211"/>
      <c r="FK44" s="211"/>
      <c r="FL44" s="211"/>
      <c r="FM44" s="211"/>
      <c r="FN44" s="206"/>
      <c r="FO44" s="206"/>
      <c r="FP44" s="211"/>
      <c r="FQ44" s="211"/>
      <c r="FR44" s="211"/>
      <c r="FS44" s="211"/>
      <c r="FT44" s="211"/>
      <c r="FU44" s="211"/>
      <c r="FV44" s="211"/>
      <c r="FW44" s="211"/>
      <c r="FX44" s="211"/>
      <c r="FY44" s="211"/>
      <c r="FZ44" s="211"/>
      <c r="GA44" s="206"/>
      <c r="GB44" s="206"/>
      <c r="GC44" s="211"/>
      <c r="GD44" s="211"/>
      <c r="GE44" s="211"/>
      <c r="GF44" s="211"/>
      <c r="GG44" s="211"/>
      <c r="GH44" s="211"/>
      <c r="GI44" s="211"/>
      <c r="GJ44" s="211"/>
      <c r="GK44" s="211"/>
      <c r="GL44" s="211"/>
      <c r="GM44" s="211"/>
      <c r="GN44" s="206"/>
      <c r="GO44" s="206"/>
      <c r="GP44" s="211"/>
      <c r="GQ44" s="211"/>
      <c r="GR44" s="211"/>
      <c r="GS44" s="211"/>
      <c r="GT44" s="211"/>
      <c r="GU44" s="211"/>
      <c r="GV44" s="211"/>
      <c r="GW44" s="211"/>
      <c r="GX44" s="211"/>
      <c r="GY44" s="211"/>
      <c r="GZ44" s="211"/>
      <c r="HA44" s="206"/>
      <c r="HB44" s="206"/>
      <c r="HC44" s="211"/>
      <c r="HD44" s="211"/>
      <c r="HE44" s="211"/>
      <c r="HF44" s="211"/>
      <c r="HG44" s="211"/>
      <c r="HH44" s="211"/>
      <c r="HI44" s="211"/>
      <c r="HJ44" s="211"/>
      <c r="HK44" s="211"/>
      <c r="HL44" s="211"/>
      <c r="HM44" s="211"/>
      <c r="HN44" s="206"/>
      <c r="HO44" s="206"/>
      <c r="HP44" s="211"/>
      <c r="HQ44" s="211"/>
      <c r="HR44" s="211"/>
      <c r="HS44" s="211"/>
      <c r="HT44" s="211"/>
      <c r="HU44" s="211"/>
      <c r="HV44" s="211"/>
      <c r="HW44" s="211"/>
      <c r="HX44" s="211"/>
      <c r="HY44" s="211"/>
      <c r="HZ44" s="211"/>
      <c r="IA44" s="206"/>
      <c r="IB44" s="206"/>
      <c r="IC44" s="211"/>
      <c r="ID44" s="211"/>
      <c r="IE44" s="211"/>
      <c r="IF44" s="211"/>
      <c r="IG44" s="211"/>
      <c r="IH44" s="211"/>
      <c r="II44" s="211"/>
      <c r="IJ44" s="211"/>
      <c r="IK44" s="211"/>
      <c r="IL44" s="211"/>
      <c r="IM44" s="211"/>
      <c r="IN44" s="206"/>
      <c r="IO44" s="206"/>
      <c r="IP44" s="211"/>
      <c r="IQ44" s="211"/>
      <c r="IR44" s="211"/>
      <c r="IS44" s="211"/>
      <c r="IT44" s="211"/>
      <c r="IU44" s="211"/>
      <c r="IV44" s="211"/>
    </row>
    <row r="45" spans="1:256" x14ac:dyDescent="0.2">
      <c r="A45" s="217"/>
      <c r="B45" s="218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0"/>
      <c r="O45" s="210"/>
      <c r="P45" s="221"/>
      <c r="Q45" s="221"/>
      <c r="R45" s="221"/>
      <c r="S45" s="221"/>
      <c r="T45" s="221"/>
      <c r="U45" s="221"/>
      <c r="V45" s="221"/>
      <c r="W45" s="221"/>
      <c r="X45" s="221"/>
      <c r="Y45" s="221"/>
      <c r="Z45" s="221"/>
      <c r="AA45" s="206"/>
      <c r="AB45" s="206"/>
      <c r="AC45" s="211"/>
      <c r="AD45" s="211"/>
      <c r="AE45" s="211"/>
      <c r="AF45" s="211"/>
      <c r="AG45" s="211"/>
      <c r="AH45" s="211"/>
      <c r="AI45" s="211"/>
      <c r="AJ45" s="211"/>
      <c r="AK45" s="211"/>
      <c r="AL45" s="211"/>
      <c r="AM45" s="211"/>
      <c r="AN45" s="206"/>
      <c r="AO45" s="206"/>
      <c r="AP45" s="211"/>
      <c r="AQ45" s="211"/>
      <c r="AR45" s="211"/>
      <c r="AS45" s="211"/>
      <c r="AT45" s="211"/>
      <c r="AU45" s="211"/>
      <c r="AV45" s="211"/>
      <c r="AW45" s="211"/>
      <c r="AX45" s="211"/>
      <c r="AY45" s="211"/>
      <c r="AZ45" s="211"/>
      <c r="BA45" s="206"/>
      <c r="BB45" s="206"/>
      <c r="BC45" s="211"/>
      <c r="BD45" s="211"/>
      <c r="BE45" s="211"/>
      <c r="BF45" s="211"/>
      <c r="BG45" s="211"/>
      <c r="BH45" s="211"/>
      <c r="BI45" s="211"/>
      <c r="BJ45" s="211"/>
      <c r="BK45" s="211"/>
      <c r="BL45" s="211"/>
      <c r="BM45" s="211"/>
      <c r="BN45" s="206"/>
      <c r="BO45" s="206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06"/>
      <c r="CB45" s="206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06"/>
      <c r="CO45" s="206"/>
      <c r="CP45" s="211"/>
      <c r="CQ45" s="211"/>
      <c r="CR45" s="211"/>
      <c r="CS45" s="211"/>
      <c r="CT45" s="211"/>
      <c r="CU45" s="211"/>
      <c r="CV45" s="211"/>
      <c r="CW45" s="211"/>
      <c r="CX45" s="211"/>
      <c r="CY45" s="211"/>
      <c r="CZ45" s="211"/>
      <c r="DA45" s="206"/>
      <c r="DB45" s="206"/>
      <c r="DC45" s="211"/>
      <c r="DD45" s="211"/>
      <c r="DE45" s="211"/>
      <c r="DF45" s="211"/>
      <c r="DG45" s="211"/>
      <c r="DH45" s="211"/>
      <c r="DI45" s="211"/>
      <c r="DJ45" s="211"/>
      <c r="DK45" s="211"/>
      <c r="DL45" s="211"/>
      <c r="DM45" s="211"/>
      <c r="DN45" s="206"/>
      <c r="DO45" s="206"/>
      <c r="DP45" s="211"/>
      <c r="DQ45" s="211"/>
      <c r="DR45" s="211"/>
      <c r="DS45" s="211"/>
      <c r="DT45" s="211"/>
      <c r="DU45" s="211"/>
      <c r="DV45" s="211"/>
      <c r="DW45" s="211"/>
      <c r="DX45" s="211"/>
      <c r="DY45" s="211"/>
      <c r="DZ45" s="211"/>
      <c r="EA45" s="206"/>
      <c r="EB45" s="206"/>
      <c r="EC45" s="211"/>
      <c r="ED45" s="211"/>
      <c r="EE45" s="211"/>
      <c r="EF45" s="211"/>
      <c r="EG45" s="211"/>
      <c r="EH45" s="211"/>
      <c r="EI45" s="211"/>
      <c r="EJ45" s="211"/>
      <c r="EK45" s="211"/>
      <c r="EL45" s="211"/>
      <c r="EM45" s="211"/>
      <c r="EN45" s="206"/>
      <c r="EO45" s="206"/>
      <c r="EP45" s="211"/>
      <c r="EQ45" s="211"/>
      <c r="ER45" s="211"/>
      <c r="ES45" s="211"/>
      <c r="ET45" s="211"/>
      <c r="EU45" s="211"/>
      <c r="EV45" s="211"/>
      <c r="EW45" s="211"/>
      <c r="EX45" s="211"/>
      <c r="EY45" s="211"/>
      <c r="EZ45" s="211"/>
      <c r="FA45" s="206"/>
      <c r="FB45" s="206"/>
      <c r="FC45" s="211"/>
      <c r="FD45" s="211"/>
      <c r="FE45" s="211"/>
      <c r="FF45" s="211"/>
      <c r="FG45" s="211"/>
      <c r="FH45" s="211"/>
      <c r="FI45" s="211"/>
      <c r="FJ45" s="211"/>
      <c r="FK45" s="211"/>
      <c r="FL45" s="211"/>
      <c r="FM45" s="211"/>
      <c r="FN45" s="206"/>
      <c r="FO45" s="206"/>
      <c r="FP45" s="211"/>
      <c r="FQ45" s="211"/>
      <c r="FR45" s="211"/>
      <c r="FS45" s="211"/>
      <c r="FT45" s="211"/>
      <c r="FU45" s="211"/>
      <c r="FV45" s="211"/>
      <c r="FW45" s="211"/>
      <c r="FX45" s="211"/>
      <c r="FY45" s="211"/>
      <c r="FZ45" s="211"/>
      <c r="GA45" s="206"/>
      <c r="GB45" s="206"/>
      <c r="GC45" s="211"/>
      <c r="GD45" s="211"/>
      <c r="GE45" s="211"/>
      <c r="GF45" s="211"/>
      <c r="GG45" s="211"/>
      <c r="GH45" s="211"/>
      <c r="GI45" s="211"/>
      <c r="GJ45" s="211"/>
      <c r="GK45" s="211"/>
      <c r="GL45" s="211"/>
      <c r="GM45" s="211"/>
      <c r="GN45" s="206"/>
      <c r="GO45" s="206"/>
      <c r="GP45" s="211"/>
      <c r="GQ45" s="211"/>
      <c r="GR45" s="211"/>
      <c r="GS45" s="211"/>
      <c r="GT45" s="211"/>
      <c r="GU45" s="211"/>
      <c r="GV45" s="211"/>
      <c r="GW45" s="211"/>
      <c r="GX45" s="211"/>
      <c r="GY45" s="211"/>
      <c r="GZ45" s="211"/>
      <c r="HA45" s="206"/>
      <c r="HB45" s="206"/>
      <c r="HC45" s="211"/>
      <c r="HD45" s="211"/>
      <c r="HE45" s="211"/>
      <c r="HF45" s="211"/>
      <c r="HG45" s="211"/>
      <c r="HH45" s="211"/>
      <c r="HI45" s="211"/>
      <c r="HJ45" s="211"/>
      <c r="HK45" s="211"/>
      <c r="HL45" s="211"/>
      <c r="HM45" s="211"/>
      <c r="HN45" s="206"/>
      <c r="HO45" s="206"/>
      <c r="HP45" s="211"/>
      <c r="HQ45" s="211"/>
      <c r="HR45" s="211"/>
      <c r="HS45" s="211"/>
      <c r="HT45" s="211"/>
      <c r="HU45" s="211"/>
      <c r="HV45" s="211"/>
      <c r="HW45" s="211"/>
      <c r="HX45" s="211"/>
      <c r="HY45" s="211"/>
      <c r="HZ45" s="211"/>
      <c r="IA45" s="206"/>
      <c r="IB45" s="206"/>
      <c r="IC45" s="211"/>
      <c r="ID45" s="211"/>
      <c r="IE45" s="211"/>
      <c r="IF45" s="211"/>
      <c r="IG45" s="211"/>
      <c r="IH45" s="211"/>
      <c r="II45" s="211"/>
      <c r="IJ45" s="211"/>
      <c r="IK45" s="211"/>
      <c r="IL45" s="211"/>
      <c r="IM45" s="211"/>
      <c r="IN45" s="206"/>
      <c r="IO45" s="206"/>
      <c r="IP45" s="211"/>
      <c r="IQ45" s="211"/>
      <c r="IR45" s="211"/>
      <c r="IS45" s="211"/>
      <c r="IT45" s="211"/>
      <c r="IU45" s="211"/>
      <c r="IV45" s="211"/>
    </row>
    <row r="46" spans="1:256" x14ac:dyDescent="0.2">
      <c r="A46" s="217"/>
      <c r="B46" s="218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0"/>
      <c r="O46" s="210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06"/>
      <c r="AB46" s="206"/>
      <c r="AC46" s="211"/>
      <c r="AD46" s="211"/>
      <c r="AE46" s="211"/>
      <c r="AF46" s="211"/>
      <c r="AG46" s="211"/>
      <c r="AH46" s="211"/>
      <c r="AI46" s="211"/>
      <c r="AJ46" s="211"/>
      <c r="AK46" s="211"/>
      <c r="AL46" s="211"/>
      <c r="AM46" s="211"/>
      <c r="AN46" s="206"/>
      <c r="AO46" s="206"/>
      <c r="AP46" s="211"/>
      <c r="AQ46" s="211"/>
      <c r="AR46" s="211"/>
      <c r="AS46" s="211"/>
      <c r="AT46" s="211"/>
      <c r="AU46" s="211"/>
      <c r="AV46" s="211"/>
      <c r="AW46" s="211"/>
      <c r="AX46" s="211"/>
      <c r="AY46" s="211"/>
      <c r="AZ46" s="211"/>
      <c r="BA46" s="206"/>
      <c r="BB46" s="206"/>
      <c r="BC46" s="211"/>
      <c r="BD46" s="211"/>
      <c r="BE46" s="211"/>
      <c r="BF46" s="211"/>
      <c r="BG46" s="211"/>
      <c r="BH46" s="211"/>
      <c r="BI46" s="211"/>
      <c r="BJ46" s="211"/>
      <c r="BK46" s="211"/>
      <c r="BL46" s="211"/>
      <c r="BM46" s="211"/>
      <c r="BN46" s="206"/>
      <c r="BO46" s="206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06"/>
      <c r="CB46" s="206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06"/>
      <c r="CO46" s="206"/>
      <c r="CP46" s="211"/>
      <c r="CQ46" s="211"/>
      <c r="CR46" s="211"/>
      <c r="CS46" s="211"/>
      <c r="CT46" s="211"/>
      <c r="CU46" s="211"/>
      <c r="CV46" s="211"/>
      <c r="CW46" s="211"/>
      <c r="CX46" s="211"/>
      <c r="CY46" s="211"/>
      <c r="CZ46" s="211"/>
      <c r="DA46" s="206"/>
      <c r="DB46" s="206"/>
      <c r="DC46" s="211"/>
      <c r="DD46" s="211"/>
      <c r="DE46" s="211"/>
      <c r="DF46" s="211"/>
      <c r="DG46" s="211"/>
      <c r="DH46" s="211"/>
      <c r="DI46" s="211"/>
      <c r="DJ46" s="211"/>
      <c r="DK46" s="211"/>
      <c r="DL46" s="211"/>
      <c r="DM46" s="211"/>
      <c r="DN46" s="206"/>
      <c r="DO46" s="206"/>
      <c r="DP46" s="211"/>
      <c r="DQ46" s="211"/>
      <c r="DR46" s="211"/>
      <c r="DS46" s="211"/>
      <c r="DT46" s="211"/>
      <c r="DU46" s="211"/>
      <c r="DV46" s="211"/>
      <c r="DW46" s="211"/>
      <c r="DX46" s="211"/>
      <c r="DY46" s="211"/>
      <c r="DZ46" s="211"/>
      <c r="EA46" s="206"/>
      <c r="EB46" s="206"/>
      <c r="EC46" s="211"/>
      <c r="ED46" s="211"/>
      <c r="EE46" s="211"/>
      <c r="EF46" s="211"/>
      <c r="EG46" s="211"/>
      <c r="EH46" s="211"/>
      <c r="EI46" s="211"/>
      <c r="EJ46" s="211"/>
      <c r="EK46" s="211"/>
      <c r="EL46" s="211"/>
      <c r="EM46" s="211"/>
      <c r="EN46" s="206"/>
      <c r="EO46" s="206"/>
      <c r="EP46" s="211"/>
      <c r="EQ46" s="211"/>
      <c r="ER46" s="211"/>
      <c r="ES46" s="211"/>
      <c r="ET46" s="211"/>
      <c r="EU46" s="211"/>
      <c r="EV46" s="211"/>
      <c r="EW46" s="211"/>
      <c r="EX46" s="211"/>
      <c r="EY46" s="211"/>
      <c r="EZ46" s="211"/>
      <c r="FA46" s="206"/>
      <c r="FB46" s="206"/>
      <c r="FC46" s="211"/>
      <c r="FD46" s="211"/>
      <c r="FE46" s="211"/>
      <c r="FF46" s="211"/>
      <c r="FG46" s="211"/>
      <c r="FH46" s="211"/>
      <c r="FI46" s="211"/>
      <c r="FJ46" s="211"/>
      <c r="FK46" s="211"/>
      <c r="FL46" s="211"/>
      <c r="FM46" s="211"/>
      <c r="FN46" s="206"/>
      <c r="FO46" s="206"/>
      <c r="FP46" s="211"/>
      <c r="FQ46" s="211"/>
      <c r="FR46" s="211"/>
      <c r="FS46" s="211"/>
      <c r="FT46" s="211"/>
      <c r="FU46" s="211"/>
      <c r="FV46" s="211"/>
      <c r="FW46" s="211"/>
      <c r="FX46" s="211"/>
      <c r="FY46" s="211"/>
      <c r="FZ46" s="211"/>
      <c r="GA46" s="206"/>
      <c r="GB46" s="206"/>
      <c r="GC46" s="211"/>
      <c r="GD46" s="211"/>
      <c r="GE46" s="211"/>
      <c r="GF46" s="211"/>
      <c r="GG46" s="211"/>
      <c r="GH46" s="211"/>
      <c r="GI46" s="211"/>
      <c r="GJ46" s="211"/>
      <c r="GK46" s="211"/>
      <c r="GL46" s="211"/>
      <c r="GM46" s="211"/>
      <c r="GN46" s="206"/>
      <c r="GO46" s="206"/>
      <c r="GP46" s="211"/>
      <c r="GQ46" s="211"/>
      <c r="GR46" s="211"/>
      <c r="GS46" s="211"/>
      <c r="GT46" s="211"/>
      <c r="GU46" s="211"/>
      <c r="GV46" s="211"/>
      <c r="GW46" s="211"/>
      <c r="GX46" s="211"/>
      <c r="GY46" s="211"/>
      <c r="GZ46" s="211"/>
      <c r="HA46" s="206"/>
      <c r="HB46" s="206"/>
      <c r="HC46" s="211"/>
      <c r="HD46" s="211"/>
      <c r="HE46" s="211"/>
      <c r="HF46" s="211"/>
      <c r="HG46" s="211"/>
      <c r="HH46" s="211"/>
      <c r="HI46" s="211"/>
      <c r="HJ46" s="211"/>
      <c r="HK46" s="211"/>
      <c r="HL46" s="211"/>
      <c r="HM46" s="211"/>
      <c r="HN46" s="206"/>
      <c r="HO46" s="206"/>
      <c r="HP46" s="211"/>
      <c r="HQ46" s="211"/>
      <c r="HR46" s="211"/>
      <c r="HS46" s="211"/>
      <c r="HT46" s="211"/>
      <c r="HU46" s="211"/>
      <c r="HV46" s="211"/>
      <c r="HW46" s="211"/>
      <c r="HX46" s="211"/>
      <c r="HY46" s="211"/>
      <c r="HZ46" s="211"/>
      <c r="IA46" s="206"/>
      <c r="IB46" s="206"/>
      <c r="IC46" s="211"/>
      <c r="ID46" s="211"/>
      <c r="IE46" s="211"/>
      <c r="IF46" s="211"/>
      <c r="IG46" s="211"/>
      <c r="IH46" s="211"/>
      <c r="II46" s="211"/>
      <c r="IJ46" s="211"/>
      <c r="IK46" s="211"/>
      <c r="IL46" s="211"/>
      <c r="IM46" s="211"/>
      <c r="IN46" s="206"/>
      <c r="IO46" s="206"/>
      <c r="IP46" s="211"/>
      <c r="IQ46" s="211"/>
      <c r="IR46" s="211"/>
      <c r="IS46" s="211"/>
      <c r="IT46" s="211"/>
      <c r="IU46" s="211"/>
      <c r="IV46" s="211"/>
    </row>
    <row r="47" spans="1:256" x14ac:dyDescent="0.2">
      <c r="A47" s="217"/>
      <c r="B47" s="218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0"/>
      <c r="O47" s="210"/>
      <c r="P47" s="221"/>
      <c r="Q47" s="221"/>
      <c r="R47" s="221"/>
      <c r="S47" s="221"/>
      <c r="T47" s="221"/>
      <c r="U47" s="221"/>
      <c r="V47" s="221"/>
      <c r="W47" s="221"/>
      <c r="X47" s="221"/>
      <c r="Y47" s="221"/>
      <c r="Z47" s="221"/>
      <c r="AA47" s="206"/>
      <c r="AB47" s="206"/>
      <c r="AC47" s="211"/>
      <c r="AD47" s="211"/>
      <c r="AE47" s="211"/>
      <c r="AF47" s="211"/>
      <c r="AG47" s="211"/>
      <c r="AH47" s="211"/>
      <c r="AI47" s="211"/>
      <c r="AJ47" s="211"/>
      <c r="AK47" s="211"/>
      <c r="AL47" s="211"/>
      <c r="AM47" s="211"/>
      <c r="AN47" s="206"/>
      <c r="AO47" s="206"/>
      <c r="AP47" s="211"/>
      <c r="AQ47" s="211"/>
      <c r="AR47" s="211"/>
      <c r="AS47" s="211"/>
      <c r="AT47" s="211"/>
      <c r="AU47" s="211"/>
      <c r="AV47" s="211"/>
      <c r="AW47" s="211"/>
      <c r="AX47" s="211"/>
      <c r="AY47" s="211"/>
      <c r="AZ47" s="211"/>
      <c r="BA47" s="206"/>
      <c r="BB47" s="206"/>
      <c r="BC47" s="211"/>
      <c r="BD47" s="211"/>
      <c r="BE47" s="211"/>
      <c r="BF47" s="211"/>
      <c r="BG47" s="211"/>
      <c r="BH47" s="211"/>
      <c r="BI47" s="211"/>
      <c r="BJ47" s="211"/>
      <c r="BK47" s="211"/>
      <c r="BL47" s="211"/>
      <c r="BM47" s="211"/>
      <c r="BN47" s="206"/>
      <c r="BO47" s="206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06"/>
      <c r="CB47" s="206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06"/>
      <c r="CO47" s="206"/>
      <c r="CP47" s="211"/>
      <c r="CQ47" s="211"/>
      <c r="CR47" s="211"/>
      <c r="CS47" s="211"/>
      <c r="CT47" s="211"/>
      <c r="CU47" s="211"/>
      <c r="CV47" s="211"/>
      <c r="CW47" s="211"/>
      <c r="CX47" s="211"/>
      <c r="CY47" s="211"/>
      <c r="CZ47" s="211"/>
      <c r="DA47" s="206"/>
      <c r="DB47" s="206"/>
      <c r="DC47" s="211"/>
      <c r="DD47" s="211"/>
      <c r="DE47" s="211"/>
      <c r="DF47" s="211"/>
      <c r="DG47" s="211"/>
      <c r="DH47" s="211"/>
      <c r="DI47" s="211"/>
      <c r="DJ47" s="211"/>
      <c r="DK47" s="211"/>
      <c r="DL47" s="211"/>
      <c r="DM47" s="211"/>
      <c r="DN47" s="206"/>
      <c r="DO47" s="206"/>
      <c r="DP47" s="211"/>
      <c r="DQ47" s="211"/>
      <c r="DR47" s="211"/>
      <c r="DS47" s="211"/>
      <c r="DT47" s="211"/>
      <c r="DU47" s="211"/>
      <c r="DV47" s="211"/>
      <c r="DW47" s="211"/>
      <c r="DX47" s="211"/>
      <c r="DY47" s="211"/>
      <c r="DZ47" s="211"/>
      <c r="EA47" s="206"/>
      <c r="EB47" s="206"/>
      <c r="EC47" s="211"/>
      <c r="ED47" s="211"/>
      <c r="EE47" s="211"/>
      <c r="EF47" s="211"/>
      <c r="EG47" s="211"/>
      <c r="EH47" s="211"/>
      <c r="EI47" s="211"/>
      <c r="EJ47" s="211"/>
      <c r="EK47" s="211"/>
      <c r="EL47" s="211"/>
      <c r="EM47" s="211"/>
      <c r="EN47" s="206"/>
      <c r="EO47" s="206"/>
      <c r="EP47" s="211"/>
      <c r="EQ47" s="211"/>
      <c r="ER47" s="211"/>
      <c r="ES47" s="211"/>
      <c r="ET47" s="211"/>
      <c r="EU47" s="211"/>
      <c r="EV47" s="211"/>
      <c r="EW47" s="211"/>
      <c r="EX47" s="211"/>
      <c r="EY47" s="211"/>
      <c r="EZ47" s="211"/>
      <c r="FA47" s="206"/>
      <c r="FB47" s="206"/>
      <c r="FC47" s="211"/>
      <c r="FD47" s="211"/>
      <c r="FE47" s="211"/>
      <c r="FF47" s="211"/>
      <c r="FG47" s="211"/>
      <c r="FH47" s="211"/>
      <c r="FI47" s="211"/>
      <c r="FJ47" s="211"/>
      <c r="FK47" s="211"/>
      <c r="FL47" s="211"/>
      <c r="FM47" s="211"/>
      <c r="FN47" s="206"/>
      <c r="FO47" s="206"/>
      <c r="FP47" s="211"/>
      <c r="FQ47" s="211"/>
      <c r="FR47" s="211"/>
      <c r="FS47" s="211"/>
      <c r="FT47" s="211"/>
      <c r="FU47" s="211"/>
      <c r="FV47" s="211"/>
      <c r="FW47" s="211"/>
      <c r="FX47" s="211"/>
      <c r="FY47" s="211"/>
      <c r="FZ47" s="211"/>
      <c r="GA47" s="206"/>
      <c r="GB47" s="206"/>
      <c r="GC47" s="211"/>
      <c r="GD47" s="211"/>
      <c r="GE47" s="211"/>
      <c r="GF47" s="211"/>
      <c r="GG47" s="211"/>
      <c r="GH47" s="211"/>
      <c r="GI47" s="211"/>
      <c r="GJ47" s="211"/>
      <c r="GK47" s="211"/>
      <c r="GL47" s="211"/>
      <c r="GM47" s="211"/>
      <c r="GN47" s="206"/>
      <c r="GO47" s="206"/>
      <c r="GP47" s="211"/>
      <c r="GQ47" s="211"/>
      <c r="GR47" s="211"/>
      <c r="GS47" s="211"/>
      <c r="GT47" s="211"/>
      <c r="GU47" s="211"/>
      <c r="GV47" s="211"/>
      <c r="GW47" s="211"/>
      <c r="GX47" s="211"/>
      <c r="GY47" s="211"/>
      <c r="GZ47" s="211"/>
      <c r="HA47" s="206"/>
      <c r="HB47" s="206"/>
      <c r="HC47" s="211"/>
      <c r="HD47" s="211"/>
      <c r="HE47" s="211"/>
      <c r="HF47" s="211"/>
      <c r="HG47" s="211"/>
      <c r="HH47" s="211"/>
      <c r="HI47" s="211"/>
      <c r="HJ47" s="211"/>
      <c r="HK47" s="211"/>
      <c r="HL47" s="211"/>
      <c r="HM47" s="211"/>
      <c r="HN47" s="206"/>
      <c r="HO47" s="206"/>
      <c r="HP47" s="211"/>
      <c r="HQ47" s="211"/>
      <c r="HR47" s="211"/>
      <c r="HS47" s="211"/>
      <c r="HT47" s="211"/>
      <c r="HU47" s="211"/>
      <c r="HV47" s="211"/>
      <c r="HW47" s="211"/>
      <c r="HX47" s="211"/>
      <c r="HY47" s="211"/>
      <c r="HZ47" s="211"/>
      <c r="IA47" s="206"/>
      <c r="IB47" s="206"/>
      <c r="IC47" s="211"/>
      <c r="ID47" s="211"/>
      <c r="IE47" s="211"/>
      <c r="IF47" s="211"/>
      <c r="IG47" s="211"/>
      <c r="IH47" s="211"/>
      <c r="II47" s="211"/>
      <c r="IJ47" s="211"/>
      <c r="IK47" s="211"/>
      <c r="IL47" s="211"/>
      <c r="IM47" s="211"/>
      <c r="IN47" s="206"/>
      <c r="IO47" s="206"/>
      <c r="IP47" s="211"/>
      <c r="IQ47" s="211"/>
      <c r="IR47" s="211"/>
      <c r="IS47" s="211"/>
      <c r="IT47" s="211"/>
      <c r="IU47" s="211"/>
      <c r="IV47" s="211"/>
    </row>
    <row r="48" spans="1:256" x14ac:dyDescent="0.2">
      <c r="A48" s="217"/>
      <c r="B48" s="218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0"/>
      <c r="O48" s="210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06"/>
      <c r="AB48" s="206"/>
      <c r="AC48" s="211"/>
      <c r="AD48" s="211"/>
      <c r="AE48" s="211"/>
      <c r="AF48" s="211"/>
      <c r="AG48" s="211"/>
      <c r="AH48" s="211"/>
      <c r="AI48" s="211"/>
      <c r="AJ48" s="211"/>
      <c r="AK48" s="211"/>
      <c r="AL48" s="211"/>
      <c r="AM48" s="211"/>
      <c r="AN48" s="206"/>
      <c r="AO48" s="206"/>
      <c r="AP48" s="211"/>
      <c r="AQ48" s="211"/>
      <c r="AR48" s="211"/>
      <c r="AS48" s="211"/>
      <c r="AT48" s="211"/>
      <c r="AU48" s="211"/>
      <c r="AV48" s="211"/>
      <c r="AW48" s="211"/>
      <c r="AX48" s="211"/>
      <c r="AY48" s="211"/>
      <c r="AZ48" s="211"/>
      <c r="BA48" s="206"/>
      <c r="BB48" s="206"/>
      <c r="BC48" s="211"/>
      <c r="BD48" s="211"/>
      <c r="BE48" s="211"/>
      <c r="BF48" s="211"/>
      <c r="BG48" s="211"/>
      <c r="BH48" s="211"/>
      <c r="BI48" s="211"/>
      <c r="BJ48" s="211"/>
      <c r="BK48" s="211"/>
      <c r="BL48" s="211"/>
      <c r="BM48" s="211"/>
      <c r="BN48" s="206"/>
      <c r="BO48" s="206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06"/>
      <c r="CB48" s="206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06"/>
      <c r="CO48" s="206"/>
      <c r="CP48" s="211"/>
      <c r="CQ48" s="211"/>
      <c r="CR48" s="211"/>
      <c r="CS48" s="211"/>
      <c r="CT48" s="211"/>
      <c r="CU48" s="211"/>
      <c r="CV48" s="211"/>
      <c r="CW48" s="211"/>
      <c r="CX48" s="211"/>
      <c r="CY48" s="211"/>
      <c r="CZ48" s="211"/>
      <c r="DA48" s="206"/>
      <c r="DB48" s="206"/>
      <c r="DC48" s="211"/>
      <c r="DD48" s="211"/>
      <c r="DE48" s="211"/>
      <c r="DF48" s="211"/>
      <c r="DG48" s="211"/>
      <c r="DH48" s="211"/>
      <c r="DI48" s="211"/>
      <c r="DJ48" s="211"/>
      <c r="DK48" s="211"/>
      <c r="DL48" s="211"/>
      <c r="DM48" s="211"/>
      <c r="DN48" s="206"/>
      <c r="DO48" s="206"/>
      <c r="DP48" s="211"/>
      <c r="DQ48" s="211"/>
      <c r="DR48" s="211"/>
      <c r="DS48" s="211"/>
      <c r="DT48" s="211"/>
      <c r="DU48" s="211"/>
      <c r="DV48" s="211"/>
      <c r="DW48" s="211"/>
      <c r="DX48" s="211"/>
      <c r="DY48" s="211"/>
      <c r="DZ48" s="211"/>
      <c r="EA48" s="206"/>
      <c r="EB48" s="206"/>
      <c r="EC48" s="211"/>
      <c r="ED48" s="211"/>
      <c r="EE48" s="211"/>
      <c r="EF48" s="211"/>
      <c r="EG48" s="211"/>
      <c r="EH48" s="211"/>
      <c r="EI48" s="211"/>
      <c r="EJ48" s="211"/>
      <c r="EK48" s="211"/>
      <c r="EL48" s="211"/>
      <c r="EM48" s="211"/>
      <c r="EN48" s="206"/>
      <c r="EO48" s="206"/>
      <c r="EP48" s="211"/>
      <c r="EQ48" s="211"/>
      <c r="ER48" s="211"/>
      <c r="ES48" s="211"/>
      <c r="ET48" s="211"/>
      <c r="EU48" s="211"/>
      <c r="EV48" s="211"/>
      <c r="EW48" s="211"/>
      <c r="EX48" s="211"/>
      <c r="EY48" s="211"/>
      <c r="EZ48" s="211"/>
      <c r="FA48" s="206"/>
      <c r="FB48" s="206"/>
      <c r="FC48" s="211"/>
      <c r="FD48" s="211"/>
      <c r="FE48" s="211"/>
      <c r="FF48" s="211"/>
      <c r="FG48" s="211"/>
      <c r="FH48" s="211"/>
      <c r="FI48" s="211"/>
      <c r="FJ48" s="211"/>
      <c r="FK48" s="211"/>
      <c r="FL48" s="211"/>
      <c r="FM48" s="211"/>
      <c r="FN48" s="206"/>
      <c r="FO48" s="206"/>
      <c r="FP48" s="211"/>
      <c r="FQ48" s="211"/>
      <c r="FR48" s="211"/>
      <c r="FS48" s="211"/>
      <c r="FT48" s="211"/>
      <c r="FU48" s="211"/>
      <c r="FV48" s="211"/>
      <c r="FW48" s="211"/>
      <c r="FX48" s="211"/>
      <c r="FY48" s="211"/>
      <c r="FZ48" s="211"/>
      <c r="GA48" s="206"/>
      <c r="GB48" s="206"/>
      <c r="GC48" s="211"/>
      <c r="GD48" s="211"/>
      <c r="GE48" s="211"/>
      <c r="GF48" s="211"/>
      <c r="GG48" s="211"/>
      <c r="GH48" s="211"/>
      <c r="GI48" s="211"/>
      <c r="GJ48" s="211"/>
      <c r="GK48" s="211"/>
      <c r="GL48" s="211"/>
      <c r="GM48" s="211"/>
      <c r="GN48" s="206"/>
      <c r="GO48" s="206"/>
      <c r="GP48" s="211"/>
      <c r="GQ48" s="211"/>
      <c r="GR48" s="211"/>
      <c r="GS48" s="211"/>
      <c r="GT48" s="211"/>
      <c r="GU48" s="211"/>
      <c r="GV48" s="211"/>
      <c r="GW48" s="211"/>
      <c r="GX48" s="211"/>
      <c r="GY48" s="211"/>
      <c r="GZ48" s="211"/>
      <c r="HA48" s="206"/>
      <c r="HB48" s="206"/>
      <c r="HC48" s="211"/>
      <c r="HD48" s="211"/>
      <c r="HE48" s="211"/>
      <c r="HF48" s="211"/>
      <c r="HG48" s="211"/>
      <c r="HH48" s="211"/>
      <c r="HI48" s="211"/>
      <c r="HJ48" s="211"/>
      <c r="HK48" s="211"/>
      <c r="HL48" s="211"/>
      <c r="HM48" s="211"/>
      <c r="HN48" s="206"/>
      <c r="HO48" s="206"/>
      <c r="HP48" s="211"/>
      <c r="HQ48" s="211"/>
      <c r="HR48" s="211"/>
      <c r="HS48" s="211"/>
      <c r="HT48" s="211"/>
      <c r="HU48" s="211"/>
      <c r="HV48" s="211"/>
      <c r="HW48" s="211"/>
      <c r="HX48" s="211"/>
      <c r="HY48" s="211"/>
      <c r="HZ48" s="211"/>
      <c r="IA48" s="206"/>
      <c r="IB48" s="206"/>
      <c r="IC48" s="211"/>
      <c r="ID48" s="211"/>
      <c r="IE48" s="211"/>
      <c r="IF48" s="211"/>
      <c r="IG48" s="211"/>
      <c r="IH48" s="211"/>
      <c r="II48" s="211"/>
      <c r="IJ48" s="211"/>
      <c r="IK48" s="211"/>
      <c r="IL48" s="211"/>
      <c r="IM48" s="211"/>
      <c r="IN48" s="206"/>
      <c r="IO48" s="206"/>
      <c r="IP48" s="211"/>
      <c r="IQ48" s="211"/>
      <c r="IR48" s="211"/>
      <c r="IS48" s="211"/>
      <c r="IT48" s="211"/>
      <c r="IU48" s="211"/>
      <c r="IV48" s="211"/>
    </row>
    <row r="49" spans="1:256" x14ac:dyDescent="0.2">
      <c r="A49" s="217"/>
      <c r="B49" s="218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0"/>
      <c r="O49" s="210"/>
      <c r="P49" s="221"/>
      <c r="Q49" s="221"/>
      <c r="R49" s="221"/>
      <c r="S49" s="221"/>
      <c r="T49" s="221"/>
      <c r="U49" s="221"/>
      <c r="V49" s="221"/>
      <c r="W49" s="221"/>
      <c r="X49" s="221"/>
      <c r="Y49" s="221"/>
      <c r="Z49" s="221"/>
      <c r="AA49" s="206"/>
      <c r="AB49" s="206"/>
      <c r="AC49" s="211"/>
      <c r="AD49" s="211"/>
      <c r="AE49" s="211"/>
      <c r="AF49" s="211"/>
      <c r="AG49" s="211"/>
      <c r="AH49" s="211"/>
      <c r="AI49" s="211"/>
      <c r="AJ49" s="211"/>
      <c r="AK49" s="211"/>
      <c r="AL49" s="211"/>
      <c r="AM49" s="211"/>
      <c r="AN49" s="206"/>
      <c r="AO49" s="206"/>
      <c r="AP49" s="211"/>
      <c r="AQ49" s="211"/>
      <c r="AR49" s="211"/>
      <c r="AS49" s="211"/>
      <c r="AT49" s="211"/>
      <c r="AU49" s="211"/>
      <c r="AV49" s="211"/>
      <c r="AW49" s="211"/>
      <c r="AX49" s="211"/>
      <c r="AY49" s="211"/>
      <c r="AZ49" s="211"/>
      <c r="BA49" s="206"/>
      <c r="BB49" s="206"/>
      <c r="BC49" s="211"/>
      <c r="BD49" s="211"/>
      <c r="BE49" s="211"/>
      <c r="BF49" s="211"/>
      <c r="BG49" s="211"/>
      <c r="BH49" s="211"/>
      <c r="BI49" s="211"/>
      <c r="BJ49" s="211"/>
      <c r="BK49" s="211"/>
      <c r="BL49" s="211"/>
      <c r="BM49" s="211"/>
      <c r="BN49" s="206"/>
      <c r="BO49" s="206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06"/>
      <c r="CB49" s="206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06"/>
      <c r="CO49" s="206"/>
      <c r="CP49" s="211"/>
      <c r="CQ49" s="211"/>
      <c r="CR49" s="211"/>
      <c r="CS49" s="211"/>
      <c r="CT49" s="211"/>
      <c r="CU49" s="211"/>
      <c r="CV49" s="211"/>
      <c r="CW49" s="211"/>
      <c r="CX49" s="211"/>
      <c r="CY49" s="211"/>
      <c r="CZ49" s="211"/>
      <c r="DA49" s="206"/>
      <c r="DB49" s="206"/>
      <c r="DC49" s="211"/>
      <c r="DD49" s="211"/>
      <c r="DE49" s="211"/>
      <c r="DF49" s="211"/>
      <c r="DG49" s="211"/>
      <c r="DH49" s="211"/>
      <c r="DI49" s="211"/>
      <c r="DJ49" s="211"/>
      <c r="DK49" s="211"/>
      <c r="DL49" s="211"/>
      <c r="DM49" s="211"/>
      <c r="DN49" s="206"/>
      <c r="DO49" s="206"/>
      <c r="DP49" s="211"/>
      <c r="DQ49" s="211"/>
      <c r="DR49" s="211"/>
      <c r="DS49" s="211"/>
      <c r="DT49" s="211"/>
      <c r="DU49" s="211"/>
      <c r="DV49" s="211"/>
      <c r="DW49" s="211"/>
      <c r="DX49" s="211"/>
      <c r="DY49" s="211"/>
      <c r="DZ49" s="211"/>
      <c r="EA49" s="206"/>
      <c r="EB49" s="206"/>
      <c r="EC49" s="211"/>
      <c r="ED49" s="211"/>
      <c r="EE49" s="211"/>
      <c r="EF49" s="211"/>
      <c r="EG49" s="211"/>
      <c r="EH49" s="211"/>
      <c r="EI49" s="211"/>
      <c r="EJ49" s="211"/>
      <c r="EK49" s="211"/>
      <c r="EL49" s="211"/>
      <c r="EM49" s="211"/>
      <c r="EN49" s="206"/>
      <c r="EO49" s="206"/>
      <c r="EP49" s="211"/>
      <c r="EQ49" s="211"/>
      <c r="ER49" s="211"/>
      <c r="ES49" s="211"/>
      <c r="ET49" s="211"/>
      <c r="EU49" s="211"/>
      <c r="EV49" s="211"/>
      <c r="EW49" s="211"/>
      <c r="EX49" s="211"/>
      <c r="EY49" s="211"/>
      <c r="EZ49" s="211"/>
      <c r="FA49" s="206"/>
      <c r="FB49" s="206"/>
      <c r="FC49" s="211"/>
      <c r="FD49" s="211"/>
      <c r="FE49" s="211"/>
      <c r="FF49" s="211"/>
      <c r="FG49" s="211"/>
      <c r="FH49" s="211"/>
      <c r="FI49" s="211"/>
      <c r="FJ49" s="211"/>
      <c r="FK49" s="211"/>
      <c r="FL49" s="211"/>
      <c r="FM49" s="211"/>
      <c r="FN49" s="206"/>
      <c r="FO49" s="206"/>
      <c r="FP49" s="211"/>
      <c r="FQ49" s="211"/>
      <c r="FR49" s="211"/>
      <c r="FS49" s="211"/>
      <c r="FT49" s="211"/>
      <c r="FU49" s="211"/>
      <c r="FV49" s="211"/>
      <c r="FW49" s="211"/>
      <c r="FX49" s="211"/>
      <c r="FY49" s="211"/>
      <c r="FZ49" s="211"/>
      <c r="GA49" s="206"/>
      <c r="GB49" s="206"/>
      <c r="GC49" s="211"/>
      <c r="GD49" s="211"/>
      <c r="GE49" s="211"/>
      <c r="GF49" s="211"/>
      <c r="GG49" s="211"/>
      <c r="GH49" s="211"/>
      <c r="GI49" s="211"/>
      <c r="GJ49" s="211"/>
      <c r="GK49" s="211"/>
      <c r="GL49" s="211"/>
      <c r="GM49" s="211"/>
      <c r="GN49" s="206"/>
      <c r="GO49" s="206"/>
      <c r="GP49" s="211"/>
      <c r="GQ49" s="211"/>
      <c r="GR49" s="211"/>
      <c r="GS49" s="211"/>
      <c r="GT49" s="211"/>
      <c r="GU49" s="211"/>
      <c r="GV49" s="211"/>
      <c r="GW49" s="211"/>
      <c r="GX49" s="211"/>
      <c r="GY49" s="211"/>
      <c r="GZ49" s="211"/>
      <c r="HA49" s="206"/>
      <c r="HB49" s="206"/>
      <c r="HC49" s="211"/>
      <c r="HD49" s="211"/>
      <c r="HE49" s="211"/>
      <c r="HF49" s="211"/>
      <c r="HG49" s="211"/>
      <c r="HH49" s="211"/>
      <c r="HI49" s="211"/>
      <c r="HJ49" s="211"/>
      <c r="HK49" s="211"/>
      <c r="HL49" s="211"/>
      <c r="HM49" s="211"/>
      <c r="HN49" s="206"/>
      <c r="HO49" s="206"/>
      <c r="HP49" s="211"/>
      <c r="HQ49" s="211"/>
      <c r="HR49" s="211"/>
      <c r="HS49" s="211"/>
      <c r="HT49" s="211"/>
      <c r="HU49" s="211"/>
      <c r="HV49" s="211"/>
      <c r="HW49" s="211"/>
      <c r="HX49" s="211"/>
      <c r="HY49" s="211"/>
      <c r="HZ49" s="211"/>
      <c r="IA49" s="206"/>
      <c r="IB49" s="206"/>
      <c r="IC49" s="211"/>
      <c r="ID49" s="211"/>
      <c r="IE49" s="211"/>
      <c r="IF49" s="211"/>
      <c r="IG49" s="211"/>
      <c r="IH49" s="211"/>
      <c r="II49" s="211"/>
      <c r="IJ49" s="211"/>
      <c r="IK49" s="211"/>
      <c r="IL49" s="211"/>
      <c r="IM49" s="211"/>
      <c r="IN49" s="206"/>
      <c r="IO49" s="206"/>
      <c r="IP49" s="211"/>
      <c r="IQ49" s="211"/>
      <c r="IR49" s="211"/>
      <c r="IS49" s="211"/>
      <c r="IT49" s="211"/>
      <c r="IU49" s="211"/>
      <c r="IV49" s="211"/>
    </row>
    <row r="50" spans="1:256" x14ac:dyDescent="0.2">
      <c r="A50" s="217"/>
      <c r="B50" s="218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7"/>
      <c r="B51" s="218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7"/>
      <c r="B52" s="218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7"/>
      <c r="B53" s="218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7"/>
      <c r="B54" s="218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7"/>
      <c r="B55" s="218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7"/>
      <c r="B56" s="218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7"/>
      <c r="B57" s="218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7"/>
      <c r="B58" s="218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7"/>
      <c r="B59" s="218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7"/>
      <c r="B60" s="218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7"/>
      <c r="B61" s="218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7"/>
      <c r="B62" s="218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7"/>
      <c r="B63" s="218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7"/>
      <c r="B64" s="218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7"/>
      <c r="B65" s="218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7"/>
      <c r="B66" s="218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7"/>
      <c r="B67" s="218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7"/>
      <c r="B68" s="218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7"/>
      <c r="B69" s="218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19"/>
      <c r="B70" s="220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7"/>
      <c r="B71" s="207"/>
      <c r="C71" s="208"/>
      <c r="D71" s="208"/>
      <c r="E71" s="208"/>
      <c r="F71" s="208"/>
      <c r="G71" s="208"/>
      <c r="H71" s="208"/>
      <c r="I71" s="208"/>
      <c r="J71" s="208"/>
      <c r="K71" s="208"/>
      <c r="L71" s="208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09" t="s">
        <v>768</v>
      </c>
      <c r="B73" s="209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0"/>
      <c r="B74" s="210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0"/>
      <c r="B75" s="210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0"/>
      <c r="B76" s="210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0"/>
      <c r="B77" s="210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0"/>
      <c r="B78" s="210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0"/>
      <c r="B79" s="210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0"/>
      <c r="B80" s="210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0"/>
      <c r="B81" s="210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0"/>
      <c r="B82" s="210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0"/>
      <c r="B83" s="210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0"/>
      <c r="B84" s="210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0"/>
      <c r="B85" s="210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0"/>
      <c r="B86" s="210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0"/>
      <c r="B87" s="210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0"/>
      <c r="B88" s="210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0"/>
      <c r="B89" s="210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0"/>
      <c r="B90" s="210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2016-10-18T16:30:16Z</cp:lastPrinted>
  <dcterms:created xsi:type="dcterms:W3CDTF">1997-12-04T19:04:30Z</dcterms:created>
  <dcterms:modified xsi:type="dcterms:W3CDTF">2016-10-18T16:31:59Z</dcterms:modified>
</cp:coreProperties>
</file>