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60" windowWidth="23040" windowHeight="99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3" i="1" l="1"/>
  <c r="D9" i="13" l="1"/>
  <c r="G200" i="1" l="1"/>
  <c r="H28" i="1" l="1"/>
  <c r="H24" i="1"/>
  <c r="H17" i="1"/>
  <c r="H9" i="1"/>
  <c r="K266" i="1" l="1"/>
  <c r="K611" i="1"/>
  <c r="G611" i="1"/>
  <c r="F611" i="1"/>
  <c r="H542" i="1"/>
  <c r="I526" i="1"/>
  <c r="H526" i="1"/>
  <c r="G526" i="1"/>
  <c r="F526" i="1"/>
  <c r="G521" i="1"/>
  <c r="F521" i="1"/>
  <c r="I521" i="1"/>
  <c r="J96" i="1"/>
  <c r="F367" i="1"/>
  <c r="I358" i="1"/>
  <c r="H358" i="1"/>
  <c r="G358" i="1"/>
  <c r="I276" i="1"/>
  <c r="H283" i="1"/>
  <c r="I283" i="1"/>
  <c r="G283" i="1"/>
  <c r="F283" i="1"/>
  <c r="H282" i="1"/>
  <c r="G282" i="1"/>
  <c r="F282" i="1"/>
  <c r="I282" i="1"/>
  <c r="G281" i="1"/>
  <c r="F281" i="1"/>
  <c r="K279" i="1"/>
  <c r="H279" i="1"/>
  <c r="G279" i="1"/>
  <c r="F279" i="1"/>
  <c r="G277" i="1"/>
  <c r="J276" i="1"/>
  <c r="H276" i="1"/>
  <c r="H226" i="1"/>
  <c r="I205" i="1" l="1"/>
  <c r="I203" i="1"/>
  <c r="I202" i="1"/>
  <c r="H208" i="1"/>
  <c r="H204" i="1"/>
  <c r="H203" i="1"/>
  <c r="H202" i="1"/>
  <c r="G204" i="1"/>
  <c r="G202" i="1"/>
  <c r="F204" i="1"/>
  <c r="F203" i="1"/>
  <c r="F202" i="1"/>
  <c r="F200" i="1"/>
  <c r="H63" i="1"/>
  <c r="H159" i="1"/>
  <c r="H155" i="1"/>
  <c r="H154" i="1"/>
  <c r="H150" i="1"/>
  <c r="G97" i="1"/>
  <c r="F110" i="1"/>
  <c r="H2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G650" i="1" s="1"/>
  <c r="L244" i="1"/>
  <c r="G651" i="1" s="1"/>
  <c r="J651" i="1" s="1"/>
  <c r="F17" i="13"/>
  <c r="G17" i="13"/>
  <c r="L251" i="1"/>
  <c r="F18" i="13"/>
  <c r="G18" i="13"/>
  <c r="D18" i="13" s="1"/>
  <c r="C18" i="13" s="1"/>
  <c r="L252" i="1"/>
  <c r="F19" i="13"/>
  <c r="G19" i="13"/>
  <c r="L253" i="1"/>
  <c r="F29" i="13"/>
  <c r="G29" i="13"/>
  <c r="L358" i="1"/>
  <c r="D127" i="2" s="1"/>
  <c r="D128" i="2" s="1"/>
  <c r="L359" i="1"/>
  <c r="G661" i="1" s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I147" i="1"/>
  <c r="I162" i="1"/>
  <c r="C13" i="10"/>
  <c r="L250" i="1"/>
  <c r="L332" i="1"/>
  <c r="L254" i="1"/>
  <c r="L268" i="1"/>
  <c r="C142" i="2" s="1"/>
  <c r="L269" i="1"/>
  <c r="L349" i="1"/>
  <c r="E142" i="2" s="1"/>
  <c r="L350" i="1"/>
  <c r="I665" i="1"/>
  <c r="I670" i="1"/>
  <c r="F661" i="1"/>
  <c r="F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2" i="2"/>
  <c r="C113" i="2"/>
  <c r="E113" i="2"/>
  <c r="C114" i="2"/>
  <c r="D115" i="2"/>
  <c r="F115" i="2"/>
  <c r="G115" i="2"/>
  <c r="C122" i="2"/>
  <c r="E123" i="2"/>
  <c r="E124" i="2"/>
  <c r="C125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G624" i="1" s="1"/>
  <c r="I51" i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H257" i="1" s="1"/>
  <c r="H271" i="1" s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I408" i="1" s="1"/>
  <c r="F401" i="1"/>
  <c r="G401" i="1"/>
  <c r="H401" i="1"/>
  <c r="I401" i="1"/>
  <c r="F407" i="1"/>
  <c r="G407" i="1"/>
  <c r="H407" i="1"/>
  <c r="I407" i="1"/>
  <c r="F408" i="1"/>
  <c r="H643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F461" i="1" s="1"/>
  <c r="H639" i="1" s="1"/>
  <c r="G460" i="1"/>
  <c r="H460" i="1"/>
  <c r="G461" i="1"/>
  <c r="H640" i="1" s="1"/>
  <c r="H461" i="1"/>
  <c r="H641" i="1" s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H571" i="1" s="1"/>
  <c r="I560" i="1"/>
  <c r="I571" i="1" s="1"/>
  <c r="J560" i="1"/>
  <c r="K560" i="1"/>
  <c r="L562" i="1"/>
  <c r="L563" i="1"/>
  <c r="L565" i="1" s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3" i="1"/>
  <c r="J643" i="1" s="1"/>
  <c r="G644" i="1"/>
  <c r="G645" i="1"/>
  <c r="G649" i="1"/>
  <c r="G652" i="1"/>
  <c r="H652" i="1"/>
  <c r="G653" i="1"/>
  <c r="H653" i="1"/>
  <c r="G654" i="1"/>
  <c r="H654" i="1"/>
  <c r="H655" i="1"/>
  <c r="J655" i="1" s="1"/>
  <c r="G164" i="2"/>
  <c r="C26" i="10"/>
  <c r="C70" i="2"/>
  <c r="D18" i="2"/>
  <c r="D17" i="13"/>
  <c r="C17" i="13" s="1"/>
  <c r="D31" i="2"/>
  <c r="C78" i="2"/>
  <c r="F18" i="2"/>
  <c r="G161" i="2"/>
  <c r="D19" i="13"/>
  <c r="C19" i="13" s="1"/>
  <c r="D14" i="13"/>
  <c r="C14" i="13" s="1"/>
  <c r="E78" i="2"/>
  <c r="J257" i="1"/>
  <c r="J271" i="1" s="1"/>
  <c r="J571" i="1"/>
  <c r="K571" i="1"/>
  <c r="I169" i="1"/>
  <c r="G552" i="1"/>
  <c r="F169" i="1"/>
  <c r="J140" i="1"/>
  <c r="K550" i="1"/>
  <c r="G22" i="2"/>
  <c r="J552" i="1"/>
  <c r="H552" i="1"/>
  <c r="F22" i="13"/>
  <c r="C22" i="13" s="1"/>
  <c r="H25" i="13"/>
  <c r="C25" i="13" s="1"/>
  <c r="H192" i="1"/>
  <c r="E16" i="13"/>
  <c r="C16" i="13" s="1"/>
  <c r="L570" i="1"/>
  <c r="K551" i="1"/>
  <c r="C12" i="10" l="1"/>
  <c r="A13" i="12"/>
  <c r="I476" i="1"/>
  <c r="H625" i="1" s="1"/>
  <c r="J625" i="1" s="1"/>
  <c r="J641" i="1"/>
  <c r="J545" i="1"/>
  <c r="I257" i="1"/>
  <c r="I271" i="1" s="1"/>
  <c r="H169" i="1"/>
  <c r="L401" i="1"/>
  <c r="C139" i="2" s="1"/>
  <c r="L362" i="1"/>
  <c r="C19" i="10"/>
  <c r="E118" i="2"/>
  <c r="E109" i="2"/>
  <c r="D7" i="13"/>
  <c r="C7" i="13" s="1"/>
  <c r="D6" i="13"/>
  <c r="C6" i="13" s="1"/>
  <c r="H33" i="13"/>
  <c r="J639" i="1"/>
  <c r="K503" i="1"/>
  <c r="J640" i="1"/>
  <c r="H338" i="1"/>
  <c r="H352" i="1" s="1"/>
  <c r="E81" i="2"/>
  <c r="G338" i="1"/>
  <c r="G352" i="1" s="1"/>
  <c r="G257" i="1"/>
  <c r="G271" i="1" s="1"/>
  <c r="D62" i="2"/>
  <c r="D63" i="2" s="1"/>
  <c r="E112" i="2"/>
  <c r="L539" i="1"/>
  <c r="K257" i="1"/>
  <c r="K271" i="1" s="1"/>
  <c r="D91" i="2"/>
  <c r="L270" i="1"/>
  <c r="E120" i="2"/>
  <c r="C120" i="2"/>
  <c r="C35" i="10"/>
  <c r="D12" i="13"/>
  <c r="C12" i="13" s="1"/>
  <c r="L544" i="1"/>
  <c r="H545" i="1"/>
  <c r="I545" i="1"/>
  <c r="G545" i="1"/>
  <c r="J476" i="1"/>
  <c r="H626" i="1" s="1"/>
  <c r="I460" i="1"/>
  <c r="I461" i="1" s="1"/>
  <c r="H642" i="1" s="1"/>
  <c r="J642" i="1" s="1"/>
  <c r="I452" i="1"/>
  <c r="I446" i="1"/>
  <c r="G642" i="1" s="1"/>
  <c r="J338" i="1"/>
  <c r="J352" i="1" s="1"/>
  <c r="F338" i="1"/>
  <c r="F352" i="1" s="1"/>
  <c r="F257" i="1"/>
  <c r="F271" i="1" s="1"/>
  <c r="G192" i="1"/>
  <c r="I52" i="1"/>
  <c r="H620" i="1" s="1"/>
  <c r="C121" i="2"/>
  <c r="D81" i="2"/>
  <c r="F552" i="1"/>
  <c r="G62" i="2"/>
  <c r="E119" i="2"/>
  <c r="E110" i="2"/>
  <c r="I369" i="1"/>
  <c r="H634" i="1" s="1"/>
  <c r="J634" i="1" s="1"/>
  <c r="J649" i="1"/>
  <c r="K549" i="1"/>
  <c r="K552" i="1" s="1"/>
  <c r="L524" i="1"/>
  <c r="L545" i="1" s="1"/>
  <c r="G476" i="1"/>
  <c r="H623" i="1" s="1"/>
  <c r="J623" i="1" s="1"/>
  <c r="F476" i="1"/>
  <c r="H622" i="1" s="1"/>
  <c r="J622" i="1" s="1"/>
  <c r="G408" i="1"/>
  <c r="H645" i="1" s="1"/>
  <c r="J645" i="1" s="1"/>
  <c r="L393" i="1"/>
  <c r="C138" i="2" s="1"/>
  <c r="F130" i="2"/>
  <c r="F144" i="2" s="1"/>
  <c r="F145" i="2" s="1"/>
  <c r="C29" i="10"/>
  <c r="L382" i="1"/>
  <c r="G636" i="1" s="1"/>
  <c r="J636" i="1" s="1"/>
  <c r="D29" i="13"/>
  <c r="C29" i="13" s="1"/>
  <c r="D145" i="2"/>
  <c r="E122" i="2"/>
  <c r="K338" i="1"/>
  <c r="K352" i="1" s="1"/>
  <c r="C16" i="10"/>
  <c r="L290" i="1"/>
  <c r="L338" i="1" s="1"/>
  <c r="L352" i="1" s="1"/>
  <c r="G633" i="1" s="1"/>
  <c r="J633" i="1" s="1"/>
  <c r="C11" i="10"/>
  <c r="E115" i="2"/>
  <c r="L247" i="1"/>
  <c r="H660" i="1"/>
  <c r="H664" i="1" s="1"/>
  <c r="H672" i="1" s="1"/>
  <c r="C6" i="10" s="1"/>
  <c r="H647" i="1"/>
  <c r="G662" i="1"/>
  <c r="I662" i="1" s="1"/>
  <c r="C21" i="10"/>
  <c r="D15" i="13"/>
  <c r="C15" i="13" s="1"/>
  <c r="J647" i="1"/>
  <c r="L229" i="1"/>
  <c r="G660" i="1" s="1"/>
  <c r="G664" i="1" s="1"/>
  <c r="G672" i="1" s="1"/>
  <c r="C5" i="10" s="1"/>
  <c r="C10" i="10"/>
  <c r="C119" i="2"/>
  <c r="C118" i="2"/>
  <c r="C15" i="10"/>
  <c r="D5" i="13"/>
  <c r="C5" i="13" s="1"/>
  <c r="C123" i="2"/>
  <c r="E8" i="13"/>
  <c r="C8" i="13" s="1"/>
  <c r="C17" i="10"/>
  <c r="C110" i="2"/>
  <c r="L211" i="1"/>
  <c r="C109" i="2"/>
  <c r="E62" i="2"/>
  <c r="E63" i="2" s="1"/>
  <c r="E104" i="2" s="1"/>
  <c r="H112" i="1"/>
  <c r="H193" i="1" s="1"/>
  <c r="G629" i="1" s="1"/>
  <c r="J629" i="1" s="1"/>
  <c r="I661" i="1"/>
  <c r="C81" i="2"/>
  <c r="C62" i="2"/>
  <c r="C63" i="2" s="1"/>
  <c r="F112" i="1"/>
  <c r="J624" i="1"/>
  <c r="E31" i="2"/>
  <c r="H52" i="1"/>
  <c r="H619" i="1" s="1"/>
  <c r="J619" i="1" s="1"/>
  <c r="J617" i="1"/>
  <c r="C18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33" i="13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E128" i="2" l="1"/>
  <c r="G104" i="2"/>
  <c r="L408" i="1"/>
  <c r="C141" i="2"/>
  <c r="C144" i="2" s="1"/>
  <c r="E145" i="2"/>
  <c r="F660" i="1"/>
  <c r="F664" i="1" s="1"/>
  <c r="D31" i="13"/>
  <c r="C31" i="13" s="1"/>
  <c r="H667" i="1"/>
  <c r="C128" i="2"/>
  <c r="E33" i="13"/>
  <c r="D35" i="13" s="1"/>
  <c r="C28" i="10"/>
  <c r="D22" i="10" s="1"/>
  <c r="C115" i="2"/>
  <c r="L257" i="1"/>
  <c r="L271" i="1" s="1"/>
  <c r="G632" i="1" s="1"/>
  <c r="J632" i="1" s="1"/>
  <c r="C36" i="10"/>
  <c r="G667" i="1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I660" i="1"/>
  <c r="I664" i="1" s="1"/>
  <c r="I672" i="1" s="1"/>
  <c r="C7" i="10" s="1"/>
  <c r="D33" i="13"/>
  <c r="D36" i="13" s="1"/>
  <c r="C145" i="2"/>
  <c r="D17" i="10"/>
  <c r="D12" i="10"/>
  <c r="D27" i="10"/>
  <c r="D24" i="10"/>
  <c r="D18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F672" i="1"/>
  <c r="C4" i="10" s="1"/>
  <c r="F667" i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<sst xmlns="http://schemas.openxmlformats.org/spreadsheetml/2006/main" count="3955" uniqueCount="913">
  <si>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</si>
  <si>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</si>
  <si>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</si>
  <si>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</si>
  <si>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</si>
  <si>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</si>
  <si>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</si>
  <si>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</si>
  <si>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</si>
  <si>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</si>
  <si>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</si>
  <si>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</si>
  <si>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</si>
  <si>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</si>
  <si>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</si>
  <si>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</si>
  <si>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</si>
  <si>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</si>
  <si>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</si>
  <si>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</si>
  <si>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</si>
  <si>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</si>
  <si>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</si>
  <si>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</si>
  <si>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</si>
  <si>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</si>
  <si>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</si>
  <si>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</si>
  <si>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</si>
  <si>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</si>
  <si>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</si>
  <si>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</si>
  <si>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</si>
  <si>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</si>
  <si>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</si>
  <si>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</si>
  <si>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</si>
  <si>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</si>
  <si>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</si>
  <si>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</si>
  <si>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</si>
  <si>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</si>
  <si>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</si>
  <si>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</si>
  <si>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</si>
  <si>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</si>
  <si>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</si>
  <si>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</si>
  <si>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</si>
  <si>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</si>
  <si>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</si>
  <si>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</si>
  <si>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</si>
  <si>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</si>
  <si>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</si>
  <si>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</si>
  <si>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</si>
  <si>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</si>
  <si>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</si>
  <si>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</si>
  <si>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</si>
  <si>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</si>
  <si>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</si>
  <si>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</si>
  <si>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</si>
  <si>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</si>
  <si>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</si>
  <si>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</si>
  <si>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</si>
  <si>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</si>
  <si>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</si>
  <si>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</si>
  <si>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</si>
  <si>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</si>
  <si>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</si>
  <si>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</si>
  <si>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</si>
  <si>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</si>
  <si>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</si>
  <si>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</si>
  <si>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</si>
  <si>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</si>
  <si>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</si>
  <si>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</si>
  <si>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</si>
  <si>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</si>
  <si>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</si>
  <si>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</si>
  <si>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</si>
  <si>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</si>
  <si>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</si>
  <si>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</si>
  <si>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</si>
  <si>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</si>
  <si>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</si>
  <si>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</si>
  <si>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</si>
  <si>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</si>
  <si>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</si>
  <si>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</si>
  <si>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</si>
  <si>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</si>
  <si>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</si>
  <si>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</si>
  <si>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</si>
  <si>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</si>
  <si>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</si>
  <si>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</si>
  <si>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</si>
  <si>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</si>
  <si>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</si>
  <si>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</si>
  <si>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</si>
  <si>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</si>
  <si>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</si>
  <si>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</si>
  <si>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</si>
  <si>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</si>
  <si>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</si>
  <si>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</si>
  <si>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</si>
  <si>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</si>
  <si>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</si>
  <si>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</si>
  <si>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</si>
  <si>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</si>
  <si>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</si>
  <si>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</si>
  <si>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</si>
  <si>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</si>
  <si>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</si>
  <si>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</si>
  <si>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</si>
  <si>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</si>
  <si>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</si>
  <si>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</si>
  <si>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</si>
  <si>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</si>
  <si>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</si>
  <si>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</si>
  <si>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</si>
  <si>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</si>
  <si>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</si>
  <si>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</si>
  <si>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</si>
  <si>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</si>
  <si>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</si>
  <si>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</si>
  <si>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</si>
  <si>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</si>
  <si>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</si>
  <si>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</si>
  <si>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</si>
  <si>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</si>
  <si>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</si>
  <si>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</si>
  <si>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</si>
  <si>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</si>
  <si>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</si>
  <si>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</si>
  <si>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</si>
  <si>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</si>
  <si>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</si>
  <si>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</si>
  <si>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</si>
  <si>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</si>
  <si>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</si>
  <si>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</si>
  <si>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</si>
  <si>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</si>
  <si>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</si>
  <si>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</si>
  <si>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</si>
  <si>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</si>
  <si>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</si>
  <si>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</si>
  <si>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</si>
  <si>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</si>
  <si>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</si>
  <si>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</si>
  <si>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</si>
  <si>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</si>
  <si>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</si>
  <si>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</si>
  <si>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</si>
  <si>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</si>
  <si>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</si>
  <si>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</si>
  <si>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</si>
  <si>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</si>
  <si>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</si>
  <si>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</si>
  <si>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</si>
  <si>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</si>
  <si>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</si>
  <si>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</si>
  <si>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</si>
  <si>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</si>
  <si>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</si>
  <si>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</si>
  <si>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</si>
  <si>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</si>
  <si>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</si>
  <si>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</si>
  <si>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</si>
  <si>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</si>
  <si>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</si>
  <si>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</si>
  <si>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</si>
  <si>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</si>
  <si>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</si>
  <si>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</si>
  <si>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</si>
  <si>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</si>
  <si>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</si>
  <si>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</si>
  <si>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</si>
  <si>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</si>
  <si>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</si>
  <si>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</si>
  <si>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</si>
  <si>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</si>
  <si>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</si>
  <si>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</si>
  <si>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</si>
  <si>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</si>
  <si>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</si>
  <si>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</si>
  <si>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</si>
  <si>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</si>
  <si>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</si>
  <si>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</si>
  <si>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</si>
  <si>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</si>
  <si>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</si>
  <si>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</si>
  <si>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</si>
  <si>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</si>
  <si>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</si>
  <si>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</si>
  <si>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</si>
  <si>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</si>
  <si>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</si>
  <si>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</si>
  <si>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</si>
  <si>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</si>
  <si>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</si>
  <si>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</si>
  <si>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</si>
  <si>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</si>
  <si>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</si>
  <si>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</si>
  <si>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</si>
  <si>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</si>
  <si>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</si>
  <si>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</si>
  <si>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</si>
  <si>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</si>
  <si>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</si>
  <si>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</si>
  <si>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</si>
  <si>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</si>
  <si>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</si>
  <si>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</si>
  <si>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</si>
  <si>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</si>
  <si>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</si>
  <si>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</si>
  <si>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</si>
  <si>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</si>
  <si>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</si>
  <si>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</si>
  <si>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</si>
  <si>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</si>
  <si>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</si>
  <si>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</si>
  <si>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</si>
  <si>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</si>
  <si>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</si>
  <si>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</si>
  <si>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</si>
  <si>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</si>
  <si>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</si>
  <si>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</si>
  <si>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</si>
  <si>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</si>
  <si>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</si>
  <si>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</si>
  <si>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</si>
  <si>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</si>
  <si>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</si>
  <si>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</si>
  <si>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</si>
  <si>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</si>
  <si>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</si>
  <si>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</si>
  <si>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</si>
  <si>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</si>
  <si>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</si>
  <si>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</si>
  <si>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</si>
  <si>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</si>
  <si>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</si>
  <si>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</si>
  <si>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</si>
  <si>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</si>
  <si>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</si>
  <si>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</si>
  <si>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</si>
  <si>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</si>
  <si>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</si>
  <si>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</si>
  <si>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</si>
  <si>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</si>
  <si>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</si>
  <si>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</si>
  <si>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</si>
  <si>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</si>
  <si>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</si>
  <si>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</si>
  <si>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</si>
  <si>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</si>
  <si>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</si>
  <si>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</si>
  <si>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</si>
  <si>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</si>
  <si>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</si>
  <si>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</si>
  <si>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</si>
  <si>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</si>
  <si>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</si>
  <si>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</si>
  <si>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</si>
  <si>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</si>
  <si>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</si>
  <si>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</si>
  <si>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</si>
  <si>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</si>
  <si>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</si>
  <si>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</si>
  <si>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</si>
  <si>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</si>
  <si>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</si>
  <si>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</si>
  <si>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</si>
  <si>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</si>
  <si>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</si>
  <si>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</si>
  <si>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</si>
  <si>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</si>
  <si>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</si>
  <si>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</si>
  <si>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</si>
  <si>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</si>
  <si>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</si>
  <si>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</si>
  <si>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</si>
  <si>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</si>
  <si>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</si>
  <si>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</si>
  <si>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</si>
  <si>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</si>
  <si>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</si>
  <si>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</si>
  <si>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</si>
  <si>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</si>
  <si>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</si>
  <si>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</si>
  <si>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</si>
  <si>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</si>
  <si>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</si>
  <si>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</si>
  <si>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</si>
  <si>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</si>
  <si>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</si>
  <si>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</si>
  <si>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</si>
  <si>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</si>
  <si>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</si>
  <si>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</si>
  <si>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</si>
  <si>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</si>
  <si>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</si>
  <si>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</si>
  <si>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</si>
  <si>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</si>
  <si>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</si>
  <si>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</si>
  <si>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</si>
  <si>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</si>
  <si>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</si>
  <si>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</si>
  <si>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</si>
  <si>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</si>
  <si>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</si>
  <si>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</si>
  <si>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</si>
  <si>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</si>
  <si>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</si>
  <si>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</si>
  <si>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</si>
  <si>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</si>
  <si>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</si>
  <si>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</si>
  <si>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</si>
  <si>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</si>
  <si>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</si>
  <si>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</si>
  <si>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</si>
  <si>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</si>
  <si>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</si>
  <si>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</si>
  <si>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</si>
  <si>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</si>
  <si>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</si>
  <si>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</si>
  <si>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</si>
  <si>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</si>
  <si>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</si>
  <si>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</si>
  <si>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</si>
  <si>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</si>
  <si>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</si>
  <si>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</si>
  <si>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</si>
  <si>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</si>
  <si>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</si>
  <si>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</si>
  <si>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</si>
  <si>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</si>
  <si>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</si>
  <si>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</si>
  <si>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</si>
  <si>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</si>
  <si>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</si>
  <si>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</si>
  <si>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</si>
  <si>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</si>
  <si>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</si>
  <si>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</si>
  <si>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</si>
  <si>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</si>
  <si>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</si>
  <si>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</si>
  <si>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</si>
  <si>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</si>
  <si>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</si>
  <si>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</si>
  <si>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</si>
  <si>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</si>
  <si>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</si>
  <si>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</si>
  <si>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</si>
  <si>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</si>
  <si>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</si>
  <si>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</si>
  <si>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</si>
  <si>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</si>
  <si>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</si>
  <si>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</si>
  <si>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</si>
  <si>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</si>
  <si>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</si>
  <si>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</si>
  <si>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</si>
  <si>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</si>
  <si>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</si>
  <si>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</si>
  <si>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</si>
  <si>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</si>
  <si>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</si>
  <si>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</si>
  <si>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</si>
  <si>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</si>
  <si>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</si>
  <si>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</si>
  <si>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</si>
  <si>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</si>
  <si>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</si>
  <si>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</si>
  <si>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</si>
  <si>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</si>
  <si>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</si>
  <si>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</si>
  <si>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</si>
  <si>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</si>
  <si>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</si>
  <si>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</si>
  <si>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</si>
  <si>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</si>
  <si>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</si>
  <si>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</si>
  <si>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</si>
  <si>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</si>
  <si>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</si>
  <si>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</si>
  <si>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</si>
  <si>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</si>
  <si>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</si>
  <si>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</si>
  <si>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</si>
  <si>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</si>
  <si>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</si>
  <si>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</si>
  <si>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</si>
  <si>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</si>
  <si>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</si>
  <si>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</si>
  <si>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</si>
  <si>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</si>
  <si>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</si>
  <si>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</si>
  <si>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</si>
  <si>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</si>
  <si>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</si>
  <si>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</si>
  <si>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</si>
  <si>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</si>
  <si>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</si>
  <si>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</si>
  <si>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</si>
  <si>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</si>
  <si>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</si>
  <si>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</si>
  <si>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</si>
  <si>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</si>
  <si>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</si>
  <si>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</si>
  <si>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</si>
  <si>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</si>
  <si>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</si>
  <si>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</si>
  <si>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</si>
  <si>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</si>
  <si>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</si>
  <si>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</si>
  <si>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</si>
  <si>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</si>
  <si>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</si>
  <si>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</si>
  <si>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</si>
  <si>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</si>
  <si>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</si>
  <si>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</si>
  <si>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</si>
  <si>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</si>
  <si>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</si>
  <si>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</si>
  <si>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</si>
  <si>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</si>
  <si>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</si>
  <si>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</si>
  <si>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</si>
  <si>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</si>
  <si>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</si>
  <si>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</si>
  <si>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</si>
  <si>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</si>
  <si>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</si>
  <si>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</si>
  <si>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</si>
  <si>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</si>
  <si>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</si>
  <si>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</si>
  <si>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</si>
  <si>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</si>
  <si>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</si>
  <si>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</si>
  <si>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</si>
  <si>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</si>
  <si>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</si>
  <si>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</si>
  <si>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</si>
  <si>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</si>
  <si>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</si>
  <si>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</si>
  <si>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</si>
  <si>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</si>
  <si>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</si>
  <si>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</si>
  <si>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</si>
  <si>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</si>
  <si>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</si>
  <si>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</si>
  <si>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</si>
  <si>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</si>
  <si>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</si>
  <si>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</si>
  <si>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</si>
  <si>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</si>
  <si>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</si>
  <si>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</si>
  <si>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</si>
  <si>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</si>
  <si>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</si>
  <si>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</si>
  <si>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</si>
  <si>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</si>
  <si>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</si>
  <si>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</si>
  <si>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</si>
  <si>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</si>
  <si>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</si>
  <si>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</si>
  <si>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</si>
  <si>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</si>
  <si>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</si>
  <si>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</si>
  <si>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</si>
  <si>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</si>
  <si>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</si>
  <si>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</si>
  <si>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</si>
  <si>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</si>
  <si>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</si>
  <si>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</si>
  <si>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</si>
  <si>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</si>
  <si>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</si>
  <si>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</si>
  <si>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</si>
  <si>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</si>
  <si>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</si>
  <si>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</si>
  <si>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</si>
  <si>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</si>
  <si>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</si>
  <si>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</si>
  <si>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</si>
  <si>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</si>
  <si>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</si>
  <si>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</si>
  <si>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</si>
  <si>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</si>
  <si>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</si>
  <si>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</si>
  <si>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</si>
  <si>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</si>
  <si>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</si>
  <si>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</si>
  <si>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</si>
  <si>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</si>
  <si>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</si>
  <si>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</si>
  <si>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</si>
  <si>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</si>
  <si>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</si>
  <si>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</si>
  <si>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</si>
  <si>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</si>
  <si>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</si>
  <si>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</si>
  <si>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</si>
  <si>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</si>
  <si>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</si>
  <si>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</si>
  <si>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</si>
  <si>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</si>
  <si>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</si>
  <si>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</si>
  <si>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</si>
  <si>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</si>
  <si>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</si>
  <si>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</si>
  <si>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</si>
  <si>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</si>
  <si>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</si>
  <si>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</si>
  <si>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</si>
  <si>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</si>
  <si>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</si>
  <si>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</si>
  <si>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</si>
  <si>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</si>
  <si>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</si>
  <si>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</si>
  <si>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</si>
  <si>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</si>
  <si>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</si>
  <si>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</si>
  <si>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</si>
  <si>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</si>
  <si>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</si>
  <si>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</si>
  <si>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</si>
  <si>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</si>
  <si>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</si>
  <si>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</si>
  <si>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</si>
  <si>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</si>
  <si>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</si>
  <si>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</si>
  <si>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</si>
  <si>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</si>
  <si>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</si>
  <si>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</si>
  <si>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</si>
  <si>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</si>
  <si>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</si>
  <si>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</si>
  <si>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</si>
  <si>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</si>
  <si>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</si>
  <si>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</si>
  <si>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</si>
  <si>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</si>
  <si>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</si>
  <si>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</si>
  <si>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</si>
  <si>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</si>
  <si>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</si>
  <si>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</si>
  <si>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</si>
  <si>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</si>
  <si>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</si>
  <si>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</si>
  <si>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</si>
  <si>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</si>
  <si>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</si>
  <si>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</si>
  <si>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</si>
  <si>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</si>
  <si>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</si>
  <si>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</si>
  <si>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</si>
  <si>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</si>
  <si>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</si>
  <si>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</si>
  <si>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</si>
  <si>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</si>
  <si>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</si>
  <si>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</si>
  <si>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</si>
  <si>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</si>
  <si>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</si>
  <si>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</si>
  <si>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</si>
  <si>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</si>
  <si>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</si>
  <si>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</si>
  <si>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</si>
  <si>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</si>
  <si>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</si>
  <si>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</si>
  <si>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</si>
  <si>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</si>
  <si>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</si>
  <si>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</si>
  <si>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</si>
  <si>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</si>
  <si>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</si>
  <si>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</si>
  <si>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</si>
  <si>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</si>
  <si>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</si>
  <si>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</si>
  <si>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</si>
  <si>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</si>
  <si>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</si>
  <si>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</si>
  <si>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</si>
  <si>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</si>
  <si>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</si>
  <si>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</si>
  <si>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</si>
  <si>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</si>
  <si>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</si>
  <si>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</si>
  <si>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</si>
  <si>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</si>
  <si>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</si>
  <si>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</si>
  <si>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</si>
  <si>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</si>
  <si>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</si>
  <si>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</si>
  <si>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</si>
  <si>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</si>
  <si>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</si>
  <si>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</si>
  <si>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</si>
  <si>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</si>
  <si>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</si>
  <si>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</si>
  <si>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</si>
  <si>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</si>
  <si>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</si>
  <si>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</si>
  <si>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</si>
  <si>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</si>
  <si>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</si>
  <si>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</si>
  <si>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</si>
  <si>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</si>
  <si>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</si>
  <si>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</si>
  <si>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</si>
  <si>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</si>
  <si>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</si>
  <si>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</si>
  <si>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</si>
  <si>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</si>
  <si>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</si>
  <si>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</si>
  <si>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</si>
  <si>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</si>
  <si>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</si>
  <si>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</si>
  <si>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</si>
  <si>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</si>
  <si>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</si>
  <si>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</si>
  <si>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</si>
  <si>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</si>
  <si>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</si>
  <si>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</si>
  <si>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</si>
  <si>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</si>
  <si>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</si>
  <si>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</si>
  <si>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</si>
  <si>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</si>
  <si>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</si>
  <si>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</si>
  <si>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</si>
  <si>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</si>
  <si>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</si>
  <si>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</si>
  <si>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</si>
  <si>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</si>
  <si>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</si>
  <si>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</si>
  <si>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</si>
  <si>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</si>
  <si>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</si>
  <si>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</si>
  <si>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</si>
  <si>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</si>
  <si>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</si>
  <si>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</si>
  <si>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</si>
  <si>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</si>
  <si>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</si>
  <si>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</si>
  <si>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</si>
  <si>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</si>
  <si>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</si>
  <si>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</si>
  <si>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</si>
  <si>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</si>
  <si>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</si>
  <si>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</si>
  <si>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</si>
  <si>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</si>
  <si>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</si>
  <si>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</si>
  <si>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</si>
  <si>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</si>
  <si>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</si>
  <si>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</si>
  <si>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</si>
  <si>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</si>
  <si>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</si>
  <si>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</si>
  <si>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</si>
  <si>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</si>
  <si>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</si>
  <si>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</si>
  <si>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</si>
  <si>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</si>
  <si>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</si>
  <si>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</si>
  <si>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</si>
  <si>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</si>
  <si>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</si>
  <si>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</si>
  <si>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</si>
  <si>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</si>
  <si>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</si>
  <si>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</si>
  <si>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</si>
  <si>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</si>
  <si>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</si>
  <si>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</si>
  <si>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</si>
  <si>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</si>
  <si>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</si>
  <si>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</si>
  <si>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</si>
  <si>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</si>
  <si>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</si>
  <si>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</si>
  <si>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</si>
  <si>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</si>
  <si>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</si>
  <si>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</si>
  <si>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</si>
  <si>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</si>
  <si>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</si>
  <si>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</si>
  <si>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</si>
  <si>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</si>
  <si>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</si>
  <si>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</si>
  <si>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</si>
  <si>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</si>
  <si>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</si>
  <si>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</si>
  <si>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</si>
  <si>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</si>
  <si>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</si>
  <si>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</si>
  <si>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HARRISVILLE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</si>
</sst>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1" fillId="0" borderId="3" xfId="0" applyNumberFormat="1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8" zoomScaleNormal="118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235</v>
      </c>
      <c r="C2" s="21">
        <v>235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-112187.3+-16565.11</f>
        <v>-128752.41</v>
      </c>
      <c r="G9" s="18">
        <v>166.33</v>
      </c>
      <c r="H9" s="18">
        <f>480.78+96767.07+500</f>
        <v>97747.85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198859.06</v>
      </c>
      <c r="G10" s="18"/>
      <c r="H10" s="18"/>
      <c r="I10" s="18"/>
      <c r="J10" s="67">
        <f>SUM(I440)</f>
        <v>286480.43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32247.67</v>
      </c>
      <c r="G12" s="18"/>
      <c r="H12" s="18">
        <v>12666.71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39147.550000000003</v>
      </c>
      <c r="G13" s="18">
        <v>445.25</v>
      </c>
      <c r="H13" s="18">
        <f>37263.03+20000</f>
        <v>57263.03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225</v>
      </c>
      <c r="H14" s="18">
        <v>6640.14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4252.25</v>
      </c>
      <c r="G17" s="18"/>
      <c r="H17" s="18">
        <f>2755.6+2807</f>
        <v>5562.6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145754.12</v>
      </c>
      <c r="G19" s="41">
        <f>SUM(G9:G18)</f>
        <v>836.58</v>
      </c>
      <c r="H19" s="41">
        <f>SUM(H9:H18)</f>
        <v>179880.33000000002</v>
      </c>
      <c r="I19" s="41">
        <f>SUM(I9:I18)</f>
        <v>0</v>
      </c>
      <c r="J19" s="41">
        <f>SUM(J9:J18)</f>
        <v>286480.43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10000</v>
      </c>
      <c r="G22" s="18"/>
      <c r="H22" s="18">
        <f>32247.67+2666.71</f>
        <v>34914.379999999997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692.85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14646.05</v>
      </c>
      <c r="G24" s="18">
        <v>377</v>
      </c>
      <c r="H24" s="18">
        <f>448.84+1004.39</f>
        <v>1453.23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5713.97</v>
      </c>
      <c r="G28" s="18">
        <v>285.68</v>
      </c>
      <c r="H28" s="18">
        <f>4655.41+1114.58</f>
        <v>5769.99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173.9</v>
      </c>
      <c r="H30" s="18">
        <v>9202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31052.870000000003</v>
      </c>
      <c r="G32" s="41">
        <f>SUM(G22:G31)</f>
        <v>836.58</v>
      </c>
      <c r="H32" s="41">
        <f>SUM(H22:H31)</f>
        <v>51339.6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4252.25</v>
      </c>
      <c r="G36" s="18"/>
      <c r="H36" s="18">
        <v>2807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>
        <v>480.78</v>
      </c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286480.43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10290.91</v>
      </c>
      <c r="G49" s="18"/>
      <c r="H49" s="18">
        <v>125252.95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80158.09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114701.25</v>
      </c>
      <c r="G51" s="41">
        <f>SUM(G35:G50)</f>
        <v>0</v>
      </c>
      <c r="H51" s="41">
        <f>SUM(H35:H50)</f>
        <v>128540.73</v>
      </c>
      <c r="I51" s="41">
        <f>SUM(I35:I50)</f>
        <v>0</v>
      </c>
      <c r="J51" s="41">
        <f>SUM(J35:J50)</f>
        <v>286480.43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145754.12</v>
      </c>
      <c r="G52" s="41">
        <f>G51+G32</f>
        <v>836.58</v>
      </c>
      <c r="H52" s="41">
        <f>H51+H32</f>
        <v>179880.33</v>
      </c>
      <c r="I52" s="41">
        <f>I51+I32</f>
        <v>0</v>
      </c>
      <c r="J52" s="41">
        <f>J51+J32</f>
        <v>286480.43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1351396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1351396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49000</v>
      </c>
      <c r="G63" s="24" t="s">
        <v>289</v>
      </c>
      <c r="H63" s="18">
        <f>26821.25+42048.6</f>
        <v>68869.850000000006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21640.75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49000</v>
      </c>
      <c r="G79" s="45" t="s">
        <v>289</v>
      </c>
      <c r="H79" s="41">
        <f>SUM(H63:H78)</f>
        <v>90510.6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626.59</v>
      </c>
      <c r="G96" s="18"/>
      <c r="H96" s="18"/>
      <c r="I96" s="18"/>
      <c r="J96" s="18">
        <f>423.6+430.85</f>
        <v>854.45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6054.65+1975.05+309.4+428.25+153</f>
        <v>8920.35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3100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37644.589999999997</v>
      </c>
      <c r="G105" s="18"/>
      <c r="H105" s="18">
        <v>20000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12740.45</v>
      </c>
      <c r="G109" s="18"/>
      <c r="H109" s="18">
        <v>5258.13</v>
      </c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2183.41+6643.64</f>
        <v>8827.0499999999993</v>
      </c>
      <c r="G110" s="18"/>
      <c r="H110" s="18">
        <v>2428.65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59838.679999999993</v>
      </c>
      <c r="G111" s="41">
        <f>SUM(G96:G110)</f>
        <v>8920.35</v>
      </c>
      <c r="H111" s="41">
        <f>SUM(H96:H110)</f>
        <v>30786.780000000002</v>
      </c>
      <c r="I111" s="41">
        <f>SUM(I96:I110)</f>
        <v>0</v>
      </c>
      <c r="J111" s="41">
        <f>SUM(J96:J110)</f>
        <v>854.45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1460234.68</v>
      </c>
      <c r="G112" s="41">
        <f>G60+G111</f>
        <v>8920.35</v>
      </c>
      <c r="H112" s="41">
        <f>H60+H79+H94+H111</f>
        <v>121297.38</v>
      </c>
      <c r="I112" s="41">
        <f>I60+I111</f>
        <v>0</v>
      </c>
      <c r="J112" s="41">
        <f>J60+J111</f>
        <v>854.45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13345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447944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461289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259.12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259.12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461289</v>
      </c>
      <c r="G140" s="41">
        <f>G121+SUM(G136:G137)</f>
        <v>259.12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f>5427.99+5708.79</f>
        <v>11136.779999999999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35.11+5450.26</f>
        <v>5485.37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0.2+438.73+6896.55+812.79+389.7+147344.24</f>
        <v>155882.21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7618.31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167.67+16957.34</f>
        <v>17125.009999999998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14110.45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14110.45</v>
      </c>
      <c r="G162" s="41">
        <f>SUM(G150:G161)</f>
        <v>7618.31</v>
      </c>
      <c r="H162" s="41">
        <f>SUM(H150:H161)</f>
        <v>189629.37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14110.45</v>
      </c>
      <c r="G169" s="41">
        <f>G147+G162+SUM(G163:G168)</f>
        <v>7618.31</v>
      </c>
      <c r="H169" s="41">
        <f>H147+H162+SUM(H163:H168)</f>
        <v>189629.37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21577.73</v>
      </c>
      <c r="H179" s="18">
        <v>29000</v>
      </c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21577.73</v>
      </c>
      <c r="H183" s="41">
        <f>SUM(H179:H182)</f>
        <v>29000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21577.73</v>
      </c>
      <c r="H192" s="41">
        <f>+H183+SUM(H188:H191)</f>
        <v>29000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1935634.13</v>
      </c>
      <c r="G193" s="47">
        <f>G112+G140+G169+G192</f>
        <v>38375.51</v>
      </c>
      <c r="H193" s="47">
        <f>H112+H140+H169+H192</f>
        <v>339926.75</v>
      </c>
      <c r="I193" s="47">
        <f>I112+I140+I169+I192</f>
        <v>0</v>
      </c>
      <c r="J193" s="47">
        <f>J112+J140+J192</f>
        <v>20854.45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324890.42</v>
      </c>
      <c r="G197" s="18">
        <v>108452.99</v>
      </c>
      <c r="H197" s="18">
        <v>5720.75</v>
      </c>
      <c r="I197" s="18">
        <v>8656.52</v>
      </c>
      <c r="J197" s="18">
        <v>18291.04</v>
      </c>
      <c r="K197" s="18"/>
      <c r="L197" s="19">
        <f>SUM(F197:K197)</f>
        <v>466011.72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86652.19</v>
      </c>
      <c r="G198" s="18">
        <v>32957.120000000003</v>
      </c>
      <c r="H198" s="18">
        <v>5390.1</v>
      </c>
      <c r="I198" s="18">
        <v>286.98</v>
      </c>
      <c r="J198" s="18">
        <v>20.32</v>
      </c>
      <c r="K198" s="18"/>
      <c r="L198" s="19">
        <f>SUM(F198:K198)</f>
        <v>125306.71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700+510</f>
        <v>1210</v>
      </c>
      <c r="G200" s="18">
        <f>135.64+41.88</f>
        <v>177.51999999999998</v>
      </c>
      <c r="H200" s="18"/>
      <c r="I200" s="18">
        <v>100</v>
      </c>
      <c r="J200" s="18"/>
      <c r="K200" s="18">
        <v>100</v>
      </c>
      <c r="L200" s="19">
        <f>SUM(F200:K200)</f>
        <v>1587.52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23857.08+24847.01+8545.79</f>
        <v>57249.88</v>
      </c>
      <c r="G202" s="18">
        <f>1958.67+9208.67+701.74</f>
        <v>11869.08</v>
      </c>
      <c r="H202" s="18">
        <f>525+4802.6+10360.22+17987.5+6436.73</f>
        <v>40112.050000000003</v>
      </c>
      <c r="I202" s="18">
        <f>375.37+247.89+493.13+340.22</f>
        <v>1456.61</v>
      </c>
      <c r="J202" s="18"/>
      <c r="K202" s="18"/>
      <c r="L202" s="19">
        <f t="shared" ref="L202:L208" si="0">SUM(F202:K202)</f>
        <v>110687.62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1659.8</f>
        <v>1659.8</v>
      </c>
      <c r="G203" s="18">
        <v>204.16</v>
      </c>
      <c r="H203" s="18">
        <f>2156.2+8250</f>
        <v>10406.200000000001</v>
      </c>
      <c r="I203" s="18">
        <f>164.57+2588.79</f>
        <v>2753.36</v>
      </c>
      <c r="J203" s="18"/>
      <c r="K203" s="18">
        <v>499</v>
      </c>
      <c r="L203" s="19">
        <f t="shared" si="0"/>
        <v>15522.52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2265.75+2000</f>
        <v>4265.75</v>
      </c>
      <c r="G204" s="18">
        <f>182.68+164.2</f>
        <v>346.88</v>
      </c>
      <c r="H204" s="18">
        <f>903.24+250+4239.89+7300+229+250+121820</f>
        <v>134992.13</v>
      </c>
      <c r="I204" s="18">
        <v>873.72</v>
      </c>
      <c r="J204" s="18">
        <v>1046.94</v>
      </c>
      <c r="K204" s="18">
        <v>2576.5</v>
      </c>
      <c r="L204" s="19">
        <f t="shared" si="0"/>
        <v>144101.92000000001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96623.88</v>
      </c>
      <c r="G205" s="18">
        <v>49051.17</v>
      </c>
      <c r="H205" s="18">
        <v>7926.9</v>
      </c>
      <c r="I205" s="18">
        <f>1503.24+117.99</f>
        <v>1621.23</v>
      </c>
      <c r="J205" s="18"/>
      <c r="K205" s="18">
        <v>129</v>
      </c>
      <c r="L205" s="19">
        <f t="shared" si="0"/>
        <v>155352.18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40248.480000000003</v>
      </c>
      <c r="G207" s="18">
        <v>15990.43</v>
      </c>
      <c r="H207" s="18">
        <v>49143.75</v>
      </c>
      <c r="I207" s="18">
        <v>31705.75</v>
      </c>
      <c r="J207" s="18">
        <v>8820.35</v>
      </c>
      <c r="K207" s="18"/>
      <c r="L207" s="19">
        <f t="shared" si="0"/>
        <v>145908.76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49481.01+493.11</f>
        <v>49974.12</v>
      </c>
      <c r="I208" s="18"/>
      <c r="J208" s="18"/>
      <c r="K208" s="18"/>
      <c r="L208" s="19">
        <f t="shared" si="0"/>
        <v>49974.12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922.5</v>
      </c>
      <c r="I209" s="18"/>
      <c r="J209" s="18"/>
      <c r="K209" s="18"/>
      <c r="L209" s="19">
        <f>SUM(F209:K209)</f>
        <v>922.5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612800.39999999991</v>
      </c>
      <c r="G211" s="41">
        <f t="shared" si="1"/>
        <v>219049.34999999998</v>
      </c>
      <c r="H211" s="41">
        <f t="shared" si="1"/>
        <v>304588.5</v>
      </c>
      <c r="I211" s="41">
        <f t="shared" si="1"/>
        <v>47454.17</v>
      </c>
      <c r="J211" s="41">
        <f t="shared" si="1"/>
        <v>28178.65</v>
      </c>
      <c r="K211" s="41">
        <f t="shared" si="1"/>
        <v>3304.5</v>
      </c>
      <c r="L211" s="41">
        <f t="shared" si="1"/>
        <v>1215375.57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83955.48</v>
      </c>
      <c r="I215" s="18"/>
      <c r="J215" s="18"/>
      <c r="K215" s="18"/>
      <c r="L215" s="19">
        <f>SUM(F215:K215)</f>
        <v>83955.48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84668.99</v>
      </c>
      <c r="I216" s="18"/>
      <c r="J216" s="18"/>
      <c r="K216" s="18"/>
      <c r="L216" s="19">
        <f>SUM(F216:K216)</f>
        <v>84668.99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16494+900</f>
        <v>17394</v>
      </c>
      <c r="I226" s="18"/>
      <c r="J226" s="18"/>
      <c r="K226" s="18"/>
      <c r="L226" s="19">
        <f t="shared" si="2"/>
        <v>17394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186018.47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186018.47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205940.83</v>
      </c>
      <c r="I233" s="18"/>
      <c r="J233" s="18"/>
      <c r="K233" s="18"/>
      <c r="L233" s="19">
        <f>SUM(F233:K233)</f>
        <v>205940.83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139360</v>
      </c>
      <c r="I234" s="18"/>
      <c r="J234" s="18"/>
      <c r="K234" s="18"/>
      <c r="L234" s="19">
        <f>SUM(F234:K234)</f>
        <v>139360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32985.39</v>
      </c>
      <c r="I244" s="18"/>
      <c r="J244" s="18"/>
      <c r="K244" s="18"/>
      <c r="L244" s="19">
        <f t="shared" si="4"/>
        <v>32985.39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378286.22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378286.22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612800.39999999991</v>
      </c>
      <c r="G257" s="41">
        <f t="shared" si="8"/>
        <v>219049.34999999998</v>
      </c>
      <c r="H257" s="41">
        <f t="shared" si="8"/>
        <v>868893.19</v>
      </c>
      <c r="I257" s="41">
        <f t="shared" si="8"/>
        <v>47454.17</v>
      </c>
      <c r="J257" s="41">
        <f t="shared" si="8"/>
        <v>28178.65</v>
      </c>
      <c r="K257" s="41">
        <f t="shared" si="8"/>
        <v>3304.5</v>
      </c>
      <c r="L257" s="41">
        <f t="shared" si="8"/>
        <v>1779680.26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21577.73</v>
      </c>
      <c r="L263" s="19">
        <f>SUM(F263:K263)</f>
        <v>21577.73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29000</v>
      </c>
      <c r="L264" s="19">
        <f t="shared" ref="L264:L270" si="9">SUM(F264:K264)</f>
        <v>29000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10000+10000</f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70577.73</v>
      </c>
      <c r="L270" s="41">
        <f t="shared" si="9"/>
        <v>70577.73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612800.39999999991</v>
      </c>
      <c r="G271" s="42">
        <f t="shared" si="11"/>
        <v>219049.34999999998</v>
      </c>
      <c r="H271" s="42">
        <f t="shared" si="11"/>
        <v>868893.19</v>
      </c>
      <c r="I271" s="42">
        <f t="shared" si="11"/>
        <v>47454.17</v>
      </c>
      <c r="J271" s="42">
        <f t="shared" si="11"/>
        <v>28178.65</v>
      </c>
      <c r="K271" s="42">
        <f t="shared" si="11"/>
        <v>73882.23</v>
      </c>
      <c r="L271" s="42">
        <f t="shared" si="11"/>
        <v>1850257.99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87139.65</v>
      </c>
      <c r="G276" s="18">
        <v>7178.22</v>
      </c>
      <c r="H276" s="18">
        <f>200</f>
        <v>200</v>
      </c>
      <c r="I276" s="18">
        <f>0.2+444.76+104.35+678.92+3550.16+149.31+3076.35+4795.37+11170.35</f>
        <v>23969.769999999997</v>
      </c>
      <c r="J276" s="18">
        <f>1433.07+1681.13+3774+428.56+1049.25</f>
        <v>8366.01</v>
      </c>
      <c r="K276" s="18"/>
      <c r="L276" s="19">
        <f>SUM(F276:K276)</f>
        <v>126853.64999999998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3516.71</v>
      </c>
      <c r="G277" s="18">
        <f>269+19.7</f>
        <v>288.7</v>
      </c>
      <c r="H277" s="18"/>
      <c r="I277" s="18"/>
      <c r="J277" s="18"/>
      <c r="K277" s="18"/>
      <c r="L277" s="19">
        <f>SUM(F277:K277)</f>
        <v>3805.41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4252.75+17479.98</f>
        <v>21732.73</v>
      </c>
      <c r="G279" s="18">
        <f>1662.57+121.71</f>
        <v>1784.28</v>
      </c>
      <c r="H279" s="18">
        <f>4948.34+7410.27</f>
        <v>12358.61</v>
      </c>
      <c r="I279" s="18">
        <v>3633.15</v>
      </c>
      <c r="J279" s="18"/>
      <c r="K279" s="18">
        <f>5184.72+200</f>
        <v>5384.72</v>
      </c>
      <c r="L279" s="19">
        <f>SUM(F279:K279)</f>
        <v>44893.49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11750.44+380</f>
        <v>12130.44</v>
      </c>
      <c r="G281" s="18">
        <f>898.95+65.81+29.06+2.14</f>
        <v>995.95999999999992</v>
      </c>
      <c r="H281" s="18"/>
      <c r="I281" s="18">
        <v>472.27</v>
      </c>
      <c r="J281" s="18"/>
      <c r="K281" s="18"/>
      <c r="L281" s="19">
        <f t="shared" ref="L281:L287" si="12">SUM(F281:K281)</f>
        <v>13598.67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5895+360+160.55</f>
        <v>6415.55</v>
      </c>
      <c r="G282" s="18">
        <f>450.98+27.54+26.57+2.16+12.29+0.95</f>
        <v>520.49000000000012</v>
      </c>
      <c r="H282" s="18">
        <f>70+268.68+70+585.17+182.9+487.1</f>
        <v>1663.85</v>
      </c>
      <c r="I282" s="18">
        <f>448.84</f>
        <v>448.84</v>
      </c>
      <c r="J282" s="18"/>
      <c r="K282" s="18"/>
      <c r="L282" s="19">
        <f t="shared" si="12"/>
        <v>9048.73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15233.95+37296.97</f>
        <v>52530.92</v>
      </c>
      <c r="G283" s="18">
        <f>4538.64+188.5+16.5+53.3+1066.22+1780.79+85.28+11112+461.5+40.5+130.52+2610.12+4086.86+208.78</f>
        <v>26379.51</v>
      </c>
      <c r="H283" s="18">
        <f>772.79+977.15+397.82+2086.49</f>
        <v>4234.25</v>
      </c>
      <c r="I283" s="18">
        <f>500+500</f>
        <v>1000</v>
      </c>
      <c r="J283" s="18"/>
      <c r="K283" s="18">
        <v>1002</v>
      </c>
      <c r="L283" s="19">
        <f t="shared" si="12"/>
        <v>85146.68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4011.15</v>
      </c>
      <c r="L285" s="19">
        <f t="shared" si="12"/>
        <v>4011.15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1222.03</v>
      </c>
      <c r="I287" s="18"/>
      <c r="J287" s="18"/>
      <c r="K287" s="18"/>
      <c r="L287" s="19">
        <f t="shared" si="12"/>
        <v>1222.03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522.25</v>
      </c>
      <c r="I288" s="18"/>
      <c r="J288" s="18"/>
      <c r="K288" s="18"/>
      <c r="L288" s="19">
        <f>SUM(F288:K288)</f>
        <v>522.25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183466</v>
      </c>
      <c r="G290" s="42">
        <f t="shared" si="13"/>
        <v>37147.159999999996</v>
      </c>
      <c r="H290" s="42">
        <f t="shared" si="13"/>
        <v>20200.989999999998</v>
      </c>
      <c r="I290" s="42">
        <f t="shared" si="13"/>
        <v>29524.03</v>
      </c>
      <c r="J290" s="42">
        <f t="shared" si="13"/>
        <v>8366.01</v>
      </c>
      <c r="K290" s="42">
        <f t="shared" si="13"/>
        <v>10397.870000000001</v>
      </c>
      <c r="L290" s="41">
        <f t="shared" si="13"/>
        <v>289102.06000000006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183466</v>
      </c>
      <c r="G338" s="41">
        <f t="shared" si="20"/>
        <v>37147.159999999996</v>
      </c>
      <c r="H338" s="41">
        <f t="shared" si="20"/>
        <v>20200.989999999998</v>
      </c>
      <c r="I338" s="41">
        <f t="shared" si="20"/>
        <v>29524.03</v>
      </c>
      <c r="J338" s="41">
        <f t="shared" si="20"/>
        <v>8366.01</v>
      </c>
      <c r="K338" s="41">
        <f t="shared" si="20"/>
        <v>10397.870000000001</v>
      </c>
      <c r="L338" s="41">
        <f t="shared" si="20"/>
        <v>289102.06000000006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183466</v>
      </c>
      <c r="G352" s="41">
        <f>G338</f>
        <v>37147.159999999996</v>
      </c>
      <c r="H352" s="41">
        <f>H338</f>
        <v>20200.989999999998</v>
      </c>
      <c r="I352" s="41">
        <f>I338</f>
        <v>29524.03</v>
      </c>
      <c r="J352" s="41">
        <f>J338</f>
        <v>8366.01</v>
      </c>
      <c r="K352" s="47">
        <f>K338+K351</f>
        <v>10397.870000000001</v>
      </c>
      <c r="L352" s="41">
        <f>L338+L351</f>
        <v>289102.06000000006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17028</v>
      </c>
      <c r="G358" s="18">
        <f>1302.6+95.39</f>
        <v>1397.99</v>
      </c>
      <c r="H358" s="18">
        <f>4825+1100.77+496.8</f>
        <v>6422.5700000000006</v>
      </c>
      <c r="I358" s="18">
        <f>589.3+11141.9+123.75</f>
        <v>11854.949999999999</v>
      </c>
      <c r="J358" s="18"/>
      <c r="K358" s="18">
        <v>1672</v>
      </c>
      <c r="L358" s="13">
        <f>SUM(F358:K358)</f>
        <v>38375.51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17028</v>
      </c>
      <c r="G362" s="47">
        <f t="shared" si="22"/>
        <v>1397.99</v>
      </c>
      <c r="H362" s="47">
        <f t="shared" si="22"/>
        <v>6422.5700000000006</v>
      </c>
      <c r="I362" s="47">
        <f t="shared" si="22"/>
        <v>11854.949999999999</v>
      </c>
      <c r="J362" s="47">
        <f t="shared" si="22"/>
        <v>0</v>
      </c>
      <c r="K362" s="47">
        <f t="shared" si="22"/>
        <v>1672</v>
      </c>
      <c r="L362" s="47">
        <f t="shared" si="22"/>
        <v>38375.51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11141.9+123.75</f>
        <v>11265.65</v>
      </c>
      <c r="G367" s="18"/>
      <c r="H367" s="18"/>
      <c r="I367" s="56">
        <f>SUM(F367:H367)</f>
        <v>11265.65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589.29999999999995</v>
      </c>
      <c r="G368" s="63"/>
      <c r="H368" s="63"/>
      <c r="I368" s="56">
        <f>SUM(F368:H368)</f>
        <v>589.29999999999995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11854.949999999999</v>
      </c>
      <c r="G369" s="47">
        <f>SUM(G367:G368)</f>
        <v>0</v>
      </c>
      <c r="H369" s="47">
        <f>SUM(H367:H368)</f>
        <v>0</v>
      </c>
      <c r="I369" s="47">
        <f>SUM(I367:I368)</f>
        <v>11854.949999999999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10000</v>
      </c>
      <c r="H389" s="18">
        <v>430.85</v>
      </c>
      <c r="I389" s="18"/>
      <c r="J389" s="24" t="s">
        <v>289</v>
      </c>
      <c r="K389" s="24" t="s">
        <v>289</v>
      </c>
      <c r="L389" s="56">
        <f t="shared" si="25"/>
        <v>10430.85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430.85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10430.85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v>423.6</v>
      </c>
      <c r="I398" s="18"/>
      <c r="J398" s="24" t="s">
        <v>289</v>
      </c>
      <c r="K398" s="24" t="s">
        <v>289</v>
      </c>
      <c r="L398" s="56">
        <f t="shared" si="26"/>
        <v>10423.6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423.6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10423.6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854.45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20854.45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144424.85</v>
      </c>
      <c r="G440" s="18">
        <v>142055.57999999999</v>
      </c>
      <c r="H440" s="18"/>
      <c r="I440" s="56">
        <f t="shared" si="33"/>
        <v>286480.43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144424.85</v>
      </c>
      <c r="G446" s="13">
        <f>SUM(G439:G445)</f>
        <v>142055.57999999999</v>
      </c>
      <c r="H446" s="13">
        <f>SUM(H439:H445)</f>
        <v>0</v>
      </c>
      <c r="I446" s="13">
        <f>SUM(I439:I445)</f>
        <v>286480.43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144424.85</v>
      </c>
      <c r="G459" s="18">
        <v>142055.57999999999</v>
      </c>
      <c r="H459" s="18"/>
      <c r="I459" s="56">
        <f t="shared" si="34"/>
        <v>286480.43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144424.85</v>
      </c>
      <c r="G460" s="83">
        <f>SUM(G454:G459)</f>
        <v>142055.57999999999</v>
      </c>
      <c r="H460" s="83">
        <f>SUM(H454:H459)</f>
        <v>0</v>
      </c>
      <c r="I460" s="83">
        <f>SUM(I454:I459)</f>
        <v>286480.43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144424.85</v>
      </c>
      <c r="G461" s="42">
        <f>G452+G460</f>
        <v>142055.57999999999</v>
      </c>
      <c r="H461" s="42">
        <f>H452+H460</f>
        <v>0</v>
      </c>
      <c r="I461" s="42">
        <f>I452+I460</f>
        <v>286480.43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29325.11</v>
      </c>
      <c r="G465" s="18">
        <v>0</v>
      </c>
      <c r="H465" s="18">
        <v>77716.039999999994</v>
      </c>
      <c r="I465" s="18">
        <v>0</v>
      </c>
      <c r="J465" s="18">
        <v>265625.98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thickBot="1" x14ac:dyDescent="0.25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thickTop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275">
        <v>1935634.13</v>
      </c>
      <c r="G468" s="275">
        <v>38375.51</v>
      </c>
      <c r="H468" s="275">
        <v>339926.75</v>
      </c>
      <c r="I468" s="275">
        <v>0</v>
      </c>
      <c r="J468" s="275">
        <v>20854.45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1935634.13</v>
      </c>
      <c r="G470" s="53">
        <f>SUM(G468:G469)</f>
        <v>38375.51</v>
      </c>
      <c r="H470" s="53">
        <f>SUM(H468:H469)</f>
        <v>339926.75</v>
      </c>
      <c r="I470" s="53">
        <f>SUM(I468:I469)</f>
        <v>0</v>
      </c>
      <c r="J470" s="53">
        <f>SUM(J468:J469)</f>
        <v>20854.45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1850257.99</v>
      </c>
      <c r="G472" s="18">
        <v>38375.51</v>
      </c>
      <c r="H472" s="18">
        <v>289102.06000000006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1850257.99</v>
      </c>
      <c r="G474" s="53">
        <f>SUM(G472:G473)</f>
        <v>38375.51</v>
      </c>
      <c r="H474" s="53">
        <f>SUM(H472:H473)</f>
        <v>289102.06000000006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114701.25</v>
      </c>
      <c r="G476" s="53">
        <f>(G465+G470)- G474</f>
        <v>0</v>
      </c>
      <c r="H476" s="53">
        <f>(H465+H470)- H474</f>
        <v>128540.72999999992</v>
      </c>
      <c r="I476" s="53">
        <f>(I465+I470)- I474</f>
        <v>0</v>
      </c>
      <c r="J476" s="53">
        <f>(J465+J470)- J474</f>
        <v>286480.43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45104.06+41548.13+3516.71</f>
        <v>90168.900000000009</v>
      </c>
      <c r="G521" s="18">
        <f>19546.51+1099.06+112.85+157.99+6441.83+5114.16+484.72+269+19.7</f>
        <v>33245.819999999992</v>
      </c>
      <c r="H521" s="18">
        <v>5390.1</v>
      </c>
      <c r="I521" s="18">
        <f>138.09+148.89</f>
        <v>286.98</v>
      </c>
      <c r="J521" s="18">
        <v>20.32</v>
      </c>
      <c r="K521" s="18"/>
      <c r="L521" s="88">
        <f>SUM(F521:K521)</f>
        <v>129112.12000000001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84668.99</v>
      </c>
      <c r="I522" s="18"/>
      <c r="J522" s="18"/>
      <c r="K522" s="18"/>
      <c r="L522" s="88">
        <f>SUM(F522:K522)</f>
        <v>84668.99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139360</v>
      </c>
      <c r="I523" s="18"/>
      <c r="J523" s="18"/>
      <c r="K523" s="18"/>
      <c r="L523" s="88">
        <f>SUM(F523:K523)</f>
        <v>139360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90168.900000000009</v>
      </c>
      <c r="G524" s="108">
        <f t="shared" ref="G524:L524" si="36">SUM(G521:G523)</f>
        <v>33245.819999999992</v>
      </c>
      <c r="H524" s="108">
        <f t="shared" si="36"/>
        <v>229419.09000000003</v>
      </c>
      <c r="I524" s="108">
        <f t="shared" si="36"/>
        <v>286.98</v>
      </c>
      <c r="J524" s="108">
        <f t="shared" si="36"/>
        <v>20.32</v>
      </c>
      <c r="K524" s="108">
        <f t="shared" si="36"/>
        <v>0</v>
      </c>
      <c r="L524" s="89">
        <f t="shared" si="36"/>
        <v>353141.11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8545.79</f>
        <v>8545.7900000000009</v>
      </c>
      <c r="G526" s="18">
        <f>653.81+47.93</f>
        <v>701.7399999999999</v>
      </c>
      <c r="H526" s="18">
        <f>10360.22+17987.5+6436.73</f>
        <v>34784.449999999997</v>
      </c>
      <c r="I526" s="18">
        <f>493.13+340.22</f>
        <v>833.35</v>
      </c>
      <c r="J526" s="18"/>
      <c r="K526" s="18"/>
      <c r="L526" s="88">
        <f>SUM(F526:K526)</f>
        <v>44865.329999999994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8545.7900000000009</v>
      </c>
      <c r="G529" s="89">
        <f t="shared" ref="G529:L529" si="37">SUM(G526:G528)</f>
        <v>701.7399999999999</v>
      </c>
      <c r="H529" s="89">
        <f t="shared" si="37"/>
        <v>34784.449999999997</v>
      </c>
      <c r="I529" s="89">
        <f t="shared" si="37"/>
        <v>833.35</v>
      </c>
      <c r="J529" s="89">
        <f t="shared" si="37"/>
        <v>0</v>
      </c>
      <c r="K529" s="89">
        <f t="shared" si="37"/>
        <v>0</v>
      </c>
      <c r="L529" s="89">
        <f t="shared" si="37"/>
        <v>44865.329999999994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10619</v>
      </c>
      <c r="I531" s="18"/>
      <c r="J531" s="18"/>
      <c r="K531" s="18">
        <v>604.4</v>
      </c>
      <c r="L531" s="88">
        <f>SUM(F531:K531)</f>
        <v>11223.4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10619</v>
      </c>
      <c r="I534" s="89">
        <f t="shared" si="38"/>
        <v>0</v>
      </c>
      <c r="J534" s="89">
        <f t="shared" si="38"/>
        <v>0</v>
      </c>
      <c r="K534" s="89">
        <f t="shared" si="38"/>
        <v>604.4</v>
      </c>
      <c r="L534" s="89">
        <f t="shared" si="38"/>
        <v>11223.4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900</f>
        <v>900</v>
      </c>
      <c r="I542" s="18"/>
      <c r="J542" s="18"/>
      <c r="K542" s="18"/>
      <c r="L542" s="88">
        <f>SUM(F542:K542)</f>
        <v>900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900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98714.69</v>
      </c>
      <c r="G545" s="89">
        <f t="shared" ref="G545:L545" si="41">G524+G529+G534+G539+G544</f>
        <v>33947.55999999999</v>
      </c>
      <c r="H545" s="89">
        <f t="shared" si="41"/>
        <v>275722.54000000004</v>
      </c>
      <c r="I545" s="89">
        <f t="shared" si="41"/>
        <v>1120.33</v>
      </c>
      <c r="J545" s="89">
        <f t="shared" si="41"/>
        <v>20.32</v>
      </c>
      <c r="K545" s="89">
        <f t="shared" si="41"/>
        <v>604.4</v>
      </c>
      <c r="L545" s="89">
        <f t="shared" si="41"/>
        <v>410129.84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129112.12000000001</v>
      </c>
      <c r="G549" s="87">
        <f>L526</f>
        <v>44865.329999999994</v>
      </c>
      <c r="H549" s="87">
        <f>L531</f>
        <v>11223.4</v>
      </c>
      <c r="I549" s="87">
        <f>L536</f>
        <v>0</v>
      </c>
      <c r="J549" s="87">
        <f>L541</f>
        <v>0</v>
      </c>
      <c r="K549" s="87">
        <f>SUM(F549:J549)</f>
        <v>185200.85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84668.99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900</v>
      </c>
      <c r="K550" s="87">
        <f>SUM(F550:J550)</f>
        <v>85568.99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139360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139360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353141.11</v>
      </c>
      <c r="G552" s="89">
        <f t="shared" si="42"/>
        <v>44865.329999999994</v>
      </c>
      <c r="H552" s="89">
        <f t="shared" si="42"/>
        <v>11223.4</v>
      </c>
      <c r="I552" s="89">
        <f t="shared" si="42"/>
        <v>0</v>
      </c>
      <c r="J552" s="89">
        <f t="shared" si="42"/>
        <v>900</v>
      </c>
      <c r="K552" s="89">
        <f t="shared" si="42"/>
        <v>410129.84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83955.48</v>
      </c>
      <c r="H575" s="18">
        <v>205940.83</v>
      </c>
      <c r="I575" s="87">
        <f>SUM(F575:H575)</f>
        <v>289896.31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84668.99</v>
      </c>
      <c r="H579" s="18">
        <v>117585</v>
      </c>
      <c r="I579" s="87">
        <f t="shared" si="47"/>
        <v>202253.99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21775</v>
      </c>
      <c r="I582" s="87">
        <f t="shared" si="47"/>
        <v>21775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49481.01</v>
      </c>
      <c r="I591" s="18">
        <v>16494</v>
      </c>
      <c r="J591" s="18">
        <v>32985.39</v>
      </c>
      <c r="K591" s="104">
        <f t="shared" ref="K591:K597" si="48">SUM(H591:J591)</f>
        <v>98960.400000000009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v>900</v>
      </c>
      <c r="J592" s="18"/>
      <c r="K592" s="104">
        <f t="shared" si="48"/>
        <v>900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493.11</v>
      </c>
      <c r="I595" s="18"/>
      <c r="J595" s="18"/>
      <c r="K595" s="104">
        <f t="shared" si="48"/>
        <v>493.11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49974.12</v>
      </c>
      <c r="I598" s="108">
        <f>SUM(I591:I597)</f>
        <v>17394</v>
      </c>
      <c r="J598" s="108">
        <f>SUM(J591:J597)</f>
        <v>32985.39</v>
      </c>
      <c r="K598" s="108">
        <f>SUM(K591:K597)</f>
        <v>100353.51000000001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36544.660000000003</v>
      </c>
      <c r="I604" s="18"/>
      <c r="J604" s="18"/>
      <c r="K604" s="104">
        <f>SUM(H604:J604)</f>
        <v>36544.660000000003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36544.660000000003</v>
      </c>
      <c r="I605" s="108">
        <f>SUM(I602:I604)</f>
        <v>0</v>
      </c>
      <c r="J605" s="108">
        <f>SUM(J602:J604)</f>
        <v>0</v>
      </c>
      <c r="K605" s="108">
        <f>SUM(K602:K604)</f>
        <v>36544.660000000003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510+4252.75+17479.98</f>
        <v>22242.73</v>
      </c>
      <c r="G611" s="18">
        <f>39.02+2.86+1662.57+121.71</f>
        <v>1826.16</v>
      </c>
      <c r="H611" s="18">
        <v>7410.27</v>
      </c>
      <c r="I611" s="18">
        <v>3633.15</v>
      </c>
      <c r="J611" s="18"/>
      <c r="K611" s="18">
        <f>5184.72+200</f>
        <v>5384.72</v>
      </c>
      <c r="L611" s="88">
        <f>SUM(F611:K611)</f>
        <v>40497.03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22242.73</v>
      </c>
      <c r="G614" s="108">
        <f t="shared" si="49"/>
        <v>1826.16</v>
      </c>
      <c r="H614" s="108">
        <f t="shared" si="49"/>
        <v>7410.27</v>
      </c>
      <c r="I614" s="108">
        <f t="shared" si="49"/>
        <v>3633.15</v>
      </c>
      <c r="J614" s="108">
        <f t="shared" si="49"/>
        <v>0</v>
      </c>
      <c r="K614" s="108">
        <f t="shared" si="49"/>
        <v>5384.72</v>
      </c>
      <c r="L614" s="89">
        <f t="shared" si="49"/>
        <v>40497.03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145754.12</v>
      </c>
      <c r="H617" s="109">
        <f>SUM(F52)</f>
        <v>145754.12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836.58</v>
      </c>
      <c r="H618" s="109">
        <f>SUM(G52)</f>
        <v>836.58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179880.33000000002</v>
      </c>
      <c r="H619" s="109">
        <f>SUM(H52)</f>
        <v>179880.33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286480.43</v>
      </c>
      <c r="H621" s="109">
        <f>SUM(J52)</f>
        <v>286480.43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114701.25</v>
      </c>
      <c r="H622" s="109">
        <f>F476</f>
        <v>114701.25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128540.73</v>
      </c>
      <c r="H624" s="109">
        <f>H476</f>
        <v>128540.72999999992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286480.43</v>
      </c>
      <c r="H626" s="109">
        <f>J476</f>
        <v>286480.43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1935634.13</v>
      </c>
      <c r="H627" s="104">
        <f>SUM(F468)</f>
        <v>1935634.13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38375.51</v>
      </c>
      <c r="H628" s="104">
        <f>SUM(G468)</f>
        <v>38375.51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339926.75</v>
      </c>
      <c r="H629" s="104">
        <f>SUM(H468)</f>
        <v>339926.75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20854.45</v>
      </c>
      <c r="H631" s="104">
        <f>SUM(J468)</f>
        <v>20854.45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1850257.99</v>
      </c>
      <c r="H632" s="104">
        <f>SUM(F472)</f>
        <v>1850257.99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289102.06000000006</v>
      </c>
      <c r="H633" s="104">
        <f>SUM(H472)</f>
        <v>289102.06000000006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11854.949999999999</v>
      </c>
      <c r="H634" s="104">
        <f>I369</f>
        <v>11854.949999999999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38375.51</v>
      </c>
      <c r="H635" s="104">
        <f>SUM(G472)</f>
        <v>38375.51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20854.45</v>
      </c>
      <c r="H637" s="164">
        <f>SUM(J468)</f>
        <v>20854.45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144424.85</v>
      </c>
      <c r="H639" s="104">
        <f>SUM(F461)</f>
        <v>144424.85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142055.57999999999</v>
      </c>
      <c r="H640" s="104">
        <f>SUM(G461)</f>
        <v>142055.57999999999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286480.43</v>
      </c>
      <c r="H642" s="104">
        <f>SUM(I461)</f>
        <v>286480.43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854.45</v>
      </c>
      <c r="H644" s="104">
        <f>H408</f>
        <v>854.45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20854.45</v>
      </c>
      <c r="H646" s="104">
        <f>L408</f>
        <v>20854.45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100353.51000000001</v>
      </c>
      <c r="H647" s="104">
        <f>L208+L226+L244</f>
        <v>100353.51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36544.660000000003</v>
      </c>
      <c r="H648" s="104">
        <f>(J257+J338)-(J255+J336)</f>
        <v>36544.660000000003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49974.12</v>
      </c>
      <c r="H649" s="104">
        <f>H598</f>
        <v>49974.12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17394</v>
      </c>
      <c r="H650" s="104">
        <f>I598</f>
        <v>17394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32985.39</v>
      </c>
      <c r="H651" s="104">
        <f>J598</f>
        <v>32985.39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21577.73</v>
      </c>
      <c r="H652" s="104">
        <f>K263+K345</f>
        <v>21577.73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29000</v>
      </c>
      <c r="H653" s="104">
        <f>K264</f>
        <v>29000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1542853.1400000001</v>
      </c>
      <c r="G660" s="19">
        <f>(L229+L309+L359)</f>
        <v>186018.47</v>
      </c>
      <c r="H660" s="19">
        <f>(L247+L328+L360)</f>
        <v>378286.22</v>
      </c>
      <c r="I660" s="19">
        <f>SUM(F660:H660)</f>
        <v>2107157.83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8920.35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8920.35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51196.15</v>
      </c>
      <c r="G662" s="19">
        <f>(L226+L306)-(J226+J306)</f>
        <v>17394</v>
      </c>
      <c r="H662" s="19">
        <f>(L244+L325)-(J244+J325)</f>
        <v>32985.39</v>
      </c>
      <c r="I662" s="19">
        <f>SUM(F662:H662)</f>
        <v>101575.54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77041.69</v>
      </c>
      <c r="G663" s="199">
        <f>SUM(G575:G587)+SUM(I602:I604)+L612</f>
        <v>168624.47</v>
      </c>
      <c r="H663" s="199">
        <f>SUM(H575:H587)+SUM(J602:J604)+L613</f>
        <v>345300.82999999996</v>
      </c>
      <c r="I663" s="19">
        <f>SUM(F663:H663)</f>
        <v>590966.99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1405694.9500000002</v>
      </c>
      <c r="G664" s="19">
        <f>G660-SUM(G661:G663)</f>
        <v>0</v>
      </c>
      <c r="H664" s="19">
        <f>H660-SUM(H661:H663)</f>
        <v>0</v>
      </c>
      <c r="I664" s="19">
        <f>I660-SUM(I661:I663)</f>
        <v>1405694.9500000002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</v>
      </c>
      <c r="G665" s="248"/>
      <c r="H665" s="248"/>
      <c r="I665" s="19">
        <f>SUM(F665:H665)</f>
        <v>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28687.65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28687.65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28687.65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28687.65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HARRISVILLE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412030.06999999995</v>
      </c>
      <c r="C9" s="229">
        <f>'DOE25'!G197+'DOE25'!G215+'DOE25'!G233+'DOE25'!G276+'DOE25'!G295+'DOE25'!G314</f>
        <v>115631.21</v>
      </c>
    </row>
    <row r="10" spans="1:3" x14ac:dyDescent="0.2">
      <c r="A10" t="s">
        <v>779</v>
      </c>
      <c r="B10" s="240">
        <v>355769.86</v>
      </c>
      <c r="C10" s="240">
        <v>99842.47</v>
      </c>
    </row>
    <row r="11" spans="1:3" x14ac:dyDescent="0.2">
      <c r="A11" t="s">
        <v>780</v>
      </c>
      <c r="B11" s="240">
        <v>56260.21</v>
      </c>
      <c r="C11" s="240">
        <v>15788.74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412030.07</v>
      </c>
      <c r="C13" s="231">
        <f>SUM(C10:C12)</f>
        <v>115631.21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90168.900000000009</v>
      </c>
      <c r="C18" s="229">
        <f>'DOE25'!G198+'DOE25'!G216+'DOE25'!G234+'DOE25'!G277+'DOE25'!G296+'DOE25'!G315</f>
        <v>33245.82</v>
      </c>
    </row>
    <row r="19" spans="1:3" x14ac:dyDescent="0.2">
      <c r="A19" t="s">
        <v>779</v>
      </c>
      <c r="B19" s="240">
        <v>45104.06</v>
      </c>
      <c r="C19" s="240">
        <v>16630.14</v>
      </c>
    </row>
    <row r="20" spans="1:3" x14ac:dyDescent="0.2">
      <c r="A20" t="s">
        <v>780</v>
      </c>
      <c r="B20" s="240">
        <v>45064.84</v>
      </c>
      <c r="C20" s="240">
        <v>16615.68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90168.9</v>
      </c>
      <c r="C22" s="231">
        <f>SUM(C19:C21)</f>
        <v>33245.82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22942.73</v>
      </c>
      <c r="C36" s="235">
        <f>'DOE25'!G200+'DOE25'!G218+'DOE25'!G236+'DOE25'!G279+'DOE25'!G298+'DOE25'!G317</f>
        <v>1961.8</v>
      </c>
    </row>
    <row r="37" spans="1:3" x14ac:dyDescent="0.2">
      <c r="A37" t="s">
        <v>779</v>
      </c>
      <c r="B37" s="240">
        <v>5462.75</v>
      </c>
      <c r="C37" s="240">
        <v>467.11</v>
      </c>
    </row>
    <row r="38" spans="1:3" x14ac:dyDescent="0.2">
      <c r="A38" t="s">
        <v>780</v>
      </c>
      <c r="B38" s="240">
        <v>17479.98</v>
      </c>
      <c r="C38" s="240">
        <v>1494.69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22942.73</v>
      </c>
      <c r="C40" s="231">
        <f>SUM(C37:C39)</f>
        <v>1961.8000000000002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HARRISVILLE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1106831.25</v>
      </c>
      <c r="D5" s="20">
        <f>SUM('DOE25'!L197:L200)+SUM('DOE25'!L215:L218)+SUM('DOE25'!L233:L236)-F5-G5</f>
        <v>1088419.8899999999</v>
      </c>
      <c r="E5" s="243"/>
      <c r="F5" s="255">
        <f>SUM('DOE25'!J197:J200)+SUM('DOE25'!J215:J218)+SUM('DOE25'!J233:J236)</f>
        <v>18311.36</v>
      </c>
      <c r="G5" s="53">
        <f>SUM('DOE25'!K197:K200)+SUM('DOE25'!K215:K218)+SUM('DOE25'!K233:K236)</f>
        <v>100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110687.62</v>
      </c>
      <c r="D6" s="20">
        <f>'DOE25'!L202+'DOE25'!L220+'DOE25'!L238-F6-G6</f>
        <v>110687.62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15522.52</v>
      </c>
      <c r="D7" s="20">
        <f>'DOE25'!L203+'DOE25'!L221+'DOE25'!L239-F7-G7</f>
        <v>15023.52</v>
      </c>
      <c r="E7" s="243"/>
      <c r="F7" s="255">
        <f>'DOE25'!J203+'DOE25'!J221+'DOE25'!J239</f>
        <v>0</v>
      </c>
      <c r="G7" s="53">
        <f>'DOE25'!K203+'DOE25'!K221+'DOE25'!K239</f>
        <v>499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109851.00000000001</v>
      </c>
      <c r="D8" s="243"/>
      <c r="E8" s="20">
        <f>'DOE25'!L204+'DOE25'!L222+'DOE25'!L240-F8-G8-D9-D11</f>
        <v>106227.56000000001</v>
      </c>
      <c r="F8" s="255">
        <f>'DOE25'!J204+'DOE25'!J222+'DOE25'!J240</f>
        <v>1046.94</v>
      </c>
      <c r="G8" s="53">
        <f>'DOE25'!K204+'DOE25'!K222+'DOE25'!K240</f>
        <v>2576.5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14981.919999999998</v>
      </c>
      <c r="D9" s="244">
        <f>22281.92-7300</f>
        <v>14981.919999999998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7300</v>
      </c>
      <c r="D10" s="243"/>
      <c r="E10" s="244">
        <v>7300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19269</v>
      </c>
      <c r="D11" s="244">
        <v>19269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155352.18</v>
      </c>
      <c r="D12" s="20">
        <f>'DOE25'!L205+'DOE25'!L223+'DOE25'!L241-F12-G12</f>
        <v>155223.18</v>
      </c>
      <c r="E12" s="243"/>
      <c r="F12" s="255">
        <f>'DOE25'!J205+'DOE25'!J223+'DOE25'!J241</f>
        <v>0</v>
      </c>
      <c r="G12" s="53">
        <f>'DOE25'!K205+'DOE25'!K223+'DOE25'!K241</f>
        <v>129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145908.76</v>
      </c>
      <c r="D14" s="20">
        <f>'DOE25'!L207+'DOE25'!L225+'DOE25'!L243-F14-G14</f>
        <v>137088.41</v>
      </c>
      <c r="E14" s="243"/>
      <c r="F14" s="255">
        <f>'DOE25'!J207+'DOE25'!J225+'DOE25'!J243</f>
        <v>8820.35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100353.51</v>
      </c>
      <c r="D15" s="20">
        <f>'DOE25'!L208+'DOE25'!L226+'DOE25'!L244-F15-G15</f>
        <v>100353.51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922.5</v>
      </c>
      <c r="D16" s="243"/>
      <c r="E16" s="20">
        <f>'DOE25'!L209+'DOE25'!L227+'DOE25'!L245-F16-G16</f>
        <v>922.5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27109.86</v>
      </c>
      <c r="D29" s="20">
        <f>'DOE25'!L358+'DOE25'!L359+'DOE25'!L360-'DOE25'!I367-F29-G29</f>
        <v>25437.86</v>
      </c>
      <c r="E29" s="243"/>
      <c r="F29" s="255">
        <f>'DOE25'!J358+'DOE25'!J359+'DOE25'!J360</f>
        <v>0</v>
      </c>
      <c r="G29" s="53">
        <f>'DOE25'!K358+'DOE25'!K359+'DOE25'!K360</f>
        <v>1672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289102.06000000006</v>
      </c>
      <c r="D31" s="20">
        <f>'DOE25'!L290+'DOE25'!L309+'DOE25'!L328+'DOE25'!L333+'DOE25'!L334+'DOE25'!L335-F31-G31</f>
        <v>270338.18000000005</v>
      </c>
      <c r="E31" s="243"/>
      <c r="F31" s="255">
        <f>'DOE25'!J290+'DOE25'!J309+'DOE25'!J328+'DOE25'!J333+'DOE25'!J334+'DOE25'!J335</f>
        <v>8366.01</v>
      </c>
      <c r="G31" s="53">
        <f>'DOE25'!K290+'DOE25'!K309+'DOE25'!K328+'DOE25'!K333+'DOE25'!K334+'DOE25'!K335</f>
        <v>10397.870000000001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1936823.0899999999</v>
      </c>
      <c r="E33" s="246">
        <f>SUM(E5:E31)</f>
        <v>114450.06000000001</v>
      </c>
      <c r="F33" s="246">
        <f>SUM(F5:F31)</f>
        <v>36544.660000000003</v>
      </c>
      <c r="G33" s="246">
        <f>SUM(G5:G31)</f>
        <v>15374.37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114450.06000000001</v>
      </c>
      <c r="E35" s="249"/>
    </row>
    <row r="36" spans="2:8" ht="12" thickTop="1" x14ac:dyDescent="0.2">
      <c r="B36" t="s">
        <v>815</v>
      </c>
      <c r="D36" s="20">
        <f>D33</f>
        <v>1936823.0899999999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HARRISVILLE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-128752.41</v>
      </c>
      <c r="D8" s="95">
        <f>'DOE25'!G9</f>
        <v>166.33</v>
      </c>
      <c r="E8" s="95">
        <f>'DOE25'!H9</f>
        <v>97747.85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198859.06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286480.43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32247.67</v>
      </c>
      <c r="D11" s="95">
        <f>'DOE25'!G12</f>
        <v>0</v>
      </c>
      <c r="E11" s="95">
        <f>'DOE25'!H12</f>
        <v>12666.71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39147.550000000003</v>
      </c>
      <c r="D12" s="95">
        <f>'DOE25'!G13</f>
        <v>445.25</v>
      </c>
      <c r="E12" s="95">
        <f>'DOE25'!H13</f>
        <v>57263.03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225</v>
      </c>
      <c r="E13" s="95">
        <f>'DOE25'!H14</f>
        <v>6640.14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4252.25</v>
      </c>
      <c r="D16" s="95">
        <f>'DOE25'!G17</f>
        <v>0</v>
      </c>
      <c r="E16" s="95">
        <f>'DOE25'!H17</f>
        <v>5562.6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145754.12</v>
      </c>
      <c r="D18" s="41">
        <f>SUM(D8:D17)</f>
        <v>836.58</v>
      </c>
      <c r="E18" s="41">
        <f>SUM(E8:E17)</f>
        <v>179880.33000000002</v>
      </c>
      <c r="F18" s="41">
        <f>SUM(F8:F17)</f>
        <v>0</v>
      </c>
      <c r="G18" s="41">
        <f>SUM(G8:G17)</f>
        <v>286480.43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10000</v>
      </c>
      <c r="D21" s="95">
        <f>'DOE25'!G22</f>
        <v>0</v>
      </c>
      <c r="E21" s="95">
        <f>'DOE25'!H22</f>
        <v>34914.379999999997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692.85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14646.05</v>
      </c>
      <c r="D23" s="95">
        <f>'DOE25'!G24</f>
        <v>377</v>
      </c>
      <c r="E23" s="95">
        <f>'DOE25'!H24</f>
        <v>1453.23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5713.97</v>
      </c>
      <c r="D27" s="95">
        <f>'DOE25'!G28</f>
        <v>285.68</v>
      </c>
      <c r="E27" s="95">
        <f>'DOE25'!H28</f>
        <v>5769.99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173.9</v>
      </c>
      <c r="E29" s="95">
        <f>'DOE25'!H30</f>
        <v>9202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31052.870000000003</v>
      </c>
      <c r="D31" s="41">
        <f>SUM(D21:D30)</f>
        <v>836.58</v>
      </c>
      <c r="E31" s="41">
        <f>SUM(E21:E30)</f>
        <v>51339.6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4252.25</v>
      </c>
      <c r="D35" s="95">
        <f>'DOE25'!G36</f>
        <v>0</v>
      </c>
      <c r="E35" s="95">
        <f>'DOE25'!H36</f>
        <v>2807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480.78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286480.43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10290.91</v>
      </c>
      <c r="D48" s="95">
        <f>'DOE25'!G49</f>
        <v>0</v>
      </c>
      <c r="E48" s="95">
        <f>'DOE25'!H49</f>
        <v>125252.95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80158.09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114701.25</v>
      </c>
      <c r="D50" s="41">
        <f>SUM(D34:D49)</f>
        <v>0</v>
      </c>
      <c r="E50" s="41">
        <f>SUM(E34:E49)</f>
        <v>128540.73</v>
      </c>
      <c r="F50" s="41">
        <f>SUM(F34:F49)</f>
        <v>0</v>
      </c>
      <c r="G50" s="41">
        <f>SUM(G34:G49)</f>
        <v>286480.43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145754.12</v>
      </c>
      <c r="D51" s="41">
        <f>D50+D31</f>
        <v>836.58</v>
      </c>
      <c r="E51" s="41">
        <f>E50+E31</f>
        <v>179880.33</v>
      </c>
      <c r="F51" s="41">
        <f>F50+F31</f>
        <v>0</v>
      </c>
      <c r="G51" s="41">
        <f>G50+G31</f>
        <v>286480.43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1351396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49000</v>
      </c>
      <c r="D57" s="24" t="s">
        <v>289</v>
      </c>
      <c r="E57" s="95">
        <f>'DOE25'!H79</f>
        <v>90510.6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626.59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854.45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8920.35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59212.09</v>
      </c>
      <c r="D61" s="95">
        <f>SUM('DOE25'!G98:G110)</f>
        <v>0</v>
      </c>
      <c r="E61" s="95">
        <f>SUM('DOE25'!H98:H110)</f>
        <v>30786.780000000002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108838.68</v>
      </c>
      <c r="D62" s="130">
        <f>SUM(D57:D61)</f>
        <v>8920.35</v>
      </c>
      <c r="E62" s="130">
        <f>SUM(E57:E61)</f>
        <v>121297.38</v>
      </c>
      <c r="F62" s="130">
        <f>SUM(F57:F61)</f>
        <v>0</v>
      </c>
      <c r="G62" s="130">
        <f>SUM(G57:G61)</f>
        <v>854.45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1460234.68</v>
      </c>
      <c r="D63" s="22">
        <f>D56+D62</f>
        <v>8920.35</v>
      </c>
      <c r="E63" s="22">
        <f>E56+E62</f>
        <v>121297.38</v>
      </c>
      <c r="F63" s="22">
        <f>F56+F62</f>
        <v>0</v>
      </c>
      <c r="G63" s="22">
        <f>G56+G62</f>
        <v>854.45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13345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447944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461289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259.12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259.12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461289</v>
      </c>
      <c r="D81" s="130">
        <f>SUM(D79:D80)+D78+D70</f>
        <v>259.12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11136.779999999999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14110.45</v>
      </c>
      <c r="D88" s="95">
        <f>SUM('DOE25'!G153:G161)</f>
        <v>7618.31</v>
      </c>
      <c r="E88" s="95">
        <f>SUM('DOE25'!H153:H161)</f>
        <v>178492.59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14110.45</v>
      </c>
      <c r="D91" s="131">
        <f>SUM(D85:D90)</f>
        <v>7618.31</v>
      </c>
      <c r="E91" s="131">
        <f>SUM(E85:E90)</f>
        <v>189629.37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21577.73</v>
      </c>
      <c r="E96" s="95">
        <f>'DOE25'!H179</f>
        <v>29000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21577.73</v>
      </c>
      <c r="E103" s="86">
        <f>SUM(E93:E102)</f>
        <v>29000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1935634.13</v>
      </c>
      <c r="D104" s="86">
        <f>D63+D81+D91+D103</f>
        <v>38375.51</v>
      </c>
      <c r="E104" s="86">
        <f>E63+E81+E91+E103</f>
        <v>339926.75</v>
      </c>
      <c r="F104" s="86">
        <f>F63+F81+F91+F103</f>
        <v>0</v>
      </c>
      <c r="G104" s="86">
        <f>G63+G81+G103</f>
        <v>20854.45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755908.02999999991</v>
      </c>
      <c r="D109" s="24" t="s">
        <v>289</v>
      </c>
      <c r="E109" s="95">
        <f>('DOE25'!L276)+('DOE25'!L295)+('DOE25'!L314)</f>
        <v>126853.64999999998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349335.7</v>
      </c>
      <c r="D110" s="24" t="s">
        <v>289</v>
      </c>
      <c r="E110" s="95">
        <f>('DOE25'!L277)+('DOE25'!L296)+('DOE25'!L315)</f>
        <v>3805.41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1587.52</v>
      </c>
      <c r="D112" s="24" t="s">
        <v>289</v>
      </c>
      <c r="E112" s="95">
        <f>+('DOE25'!L279)+('DOE25'!L298)+('DOE25'!L317)</f>
        <v>44893.49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1106831.25</v>
      </c>
      <c r="D115" s="86">
        <f>SUM(D109:D114)</f>
        <v>0</v>
      </c>
      <c r="E115" s="86">
        <f>SUM(E109:E114)</f>
        <v>175552.55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110687.62</v>
      </c>
      <c r="D118" s="24" t="s">
        <v>289</v>
      </c>
      <c r="E118" s="95">
        <f>+('DOE25'!L281)+('DOE25'!L300)+('DOE25'!L319)</f>
        <v>13598.67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15522.52</v>
      </c>
      <c r="D119" s="24" t="s">
        <v>289</v>
      </c>
      <c r="E119" s="95">
        <f>+('DOE25'!L282)+('DOE25'!L301)+('DOE25'!L320)</f>
        <v>9048.73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144101.92000000001</v>
      </c>
      <c r="D120" s="24" t="s">
        <v>289</v>
      </c>
      <c r="E120" s="95">
        <f>+('DOE25'!L283)+('DOE25'!L302)+('DOE25'!L321)</f>
        <v>85146.68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155352.18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4011.15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145908.76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100353.51</v>
      </c>
      <c r="D124" s="24" t="s">
        <v>289</v>
      </c>
      <c r="E124" s="95">
        <f>+('DOE25'!L287)+('DOE25'!L306)+('DOE25'!L325)</f>
        <v>1222.03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922.5</v>
      </c>
      <c r="D125" s="24" t="s">
        <v>289</v>
      </c>
      <c r="E125" s="95">
        <f>+('DOE25'!L288)+('DOE25'!L307)+('DOE25'!L326)</f>
        <v>522.25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38375.51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672849.01</v>
      </c>
      <c r="D128" s="86">
        <f>SUM(D118:D127)</f>
        <v>38375.51</v>
      </c>
      <c r="E128" s="86">
        <f>SUM(E118:E127)</f>
        <v>113549.50999999998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21577.73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29000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10430.85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10423.6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-854.45000000000073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70577.73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1850257.99</v>
      </c>
      <c r="D145" s="86">
        <f>(D115+D128+D144)</f>
        <v>38375.51</v>
      </c>
      <c r="E145" s="86">
        <f>(E115+E128+E144)</f>
        <v>289102.05999999994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HARRISVILLE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28688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28688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882762</v>
      </c>
      <c r="D10" s="182">
        <f>ROUND((C10/$C$28)*100,1)</f>
        <v>42.1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353141</v>
      </c>
      <c r="D11" s="182">
        <f>ROUND((C11/$C$28)*100,1)</f>
        <v>16.8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46481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124286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24571</v>
      </c>
      <c r="D16" s="182">
        <f t="shared" si="0"/>
        <v>1.2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230693</v>
      </c>
      <c r="D17" s="182">
        <f t="shared" si="0"/>
        <v>11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155352</v>
      </c>
      <c r="D18" s="182">
        <f t="shared" si="0"/>
        <v>7.4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4011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145909</v>
      </c>
      <c r="D20" s="182">
        <f t="shared" si="0"/>
        <v>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101576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29455.65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2098237.65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2098237.65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1351396</v>
      </c>
      <c r="D35" s="182">
        <f t="shared" ref="D35:D40" si="1">ROUND((C35/$C$41)*100,1)</f>
        <v>59.9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230990.51</v>
      </c>
      <c r="D36" s="182">
        <f t="shared" si="1"/>
        <v>10.199999999999999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461289</v>
      </c>
      <c r="D37" s="182">
        <f t="shared" si="1"/>
        <v>20.5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259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211358</v>
      </c>
      <c r="D39" s="182">
        <f t="shared" si="1"/>
        <v>9.4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2255292.5099999998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HARRISVILLE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2016-10-13T17:03:53Z</cp:lastPrinted>
  <dcterms:created xsi:type="dcterms:W3CDTF">1997-12-04T19:04:30Z</dcterms:created>
  <dcterms:modified xsi:type="dcterms:W3CDTF">2016-10-13T18:27:06Z</dcterms:modified>
</cp:coreProperties>
</file>