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5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6" i="1"/>
  <c r="C12" i="12"/>
  <c r="C11" i="12"/>
  <c r="C10" i="12"/>
  <c r="C39" i="12"/>
  <c r="C38" i="12"/>
  <c r="C37" i="12"/>
  <c r="C21" i="12"/>
  <c r="C20" i="12"/>
  <c r="C19" i="12"/>
  <c r="B38" i="12"/>
  <c r="B39" i="12"/>
  <c r="B37" i="12"/>
  <c r="B11" i="12"/>
  <c r="H22" i="1"/>
  <c r="H48" i="1"/>
  <c r="H24" i="1"/>
  <c r="H543" i="1"/>
  <c r="H542" i="1"/>
  <c r="H541" i="1"/>
  <c r="I523" i="1"/>
  <c r="H523" i="1"/>
  <c r="H522" i="1"/>
  <c r="H521" i="1"/>
  <c r="J498" i="1"/>
  <c r="F498" i="1"/>
  <c r="I498" i="1"/>
  <c r="H498" i="1"/>
  <c r="G498" i="1"/>
  <c r="H468" i="1"/>
  <c r="H472" i="1"/>
  <c r="F465" i="1"/>
  <c r="J465" i="1"/>
  <c r="G459" i="1"/>
  <c r="G448" i="1"/>
  <c r="H360" i="1"/>
  <c r="H359" i="1"/>
  <c r="H358" i="1"/>
  <c r="H319" i="1"/>
  <c r="H282" i="1"/>
  <c r="G253" i="1"/>
  <c r="H238" i="1"/>
  <c r="H245" i="1"/>
  <c r="H244" i="1"/>
  <c r="H243" i="1"/>
  <c r="H241" i="1"/>
  <c r="H240" i="1"/>
  <c r="H239" i="1"/>
  <c r="H236" i="1"/>
  <c r="H234" i="1"/>
  <c r="H227" i="1"/>
  <c r="H226" i="1"/>
  <c r="H225" i="1"/>
  <c r="H223" i="1"/>
  <c r="H222" i="1"/>
  <c r="H221" i="1"/>
  <c r="H220" i="1"/>
  <c r="H218" i="1"/>
  <c r="H215" i="1"/>
  <c r="H209" i="1"/>
  <c r="G209" i="1"/>
  <c r="H208" i="1"/>
  <c r="H207" i="1"/>
  <c r="H204" i="1"/>
  <c r="H203" i="1"/>
  <c r="H202" i="1"/>
  <c r="H198" i="1"/>
  <c r="H197" i="1"/>
  <c r="F110" i="1"/>
  <c r="F105" i="1"/>
  <c r="F96" i="1"/>
  <c r="F69" i="1"/>
  <c r="F68" i="1"/>
  <c r="F9" i="1"/>
  <c r="F18" i="1"/>
  <c r="F24" i="1"/>
  <c r="H102" i="1"/>
  <c r="H155" i="1"/>
  <c r="H154" i="1"/>
  <c r="G158" i="1"/>
  <c r="I48" i="1"/>
  <c r="H13" i="1"/>
  <c r="H2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H169" i="1" s="1"/>
  <c r="I147" i="1"/>
  <c r="I162" i="1"/>
  <c r="C11" i="10"/>
  <c r="C13" i="10"/>
  <c r="L250" i="1"/>
  <c r="L332" i="1"/>
  <c r="E113" i="2" s="1"/>
  <c r="L254" i="1"/>
  <c r="L268" i="1"/>
  <c r="C142" i="2" s="1"/>
  <c r="L269" i="1"/>
  <c r="L349" i="1"/>
  <c r="L350" i="1"/>
  <c r="E143" i="2" s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D115" i="2"/>
  <c r="F115" i="2"/>
  <c r="G115" i="2"/>
  <c r="E119" i="2"/>
  <c r="E120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F461" i="1" s="1"/>
  <c r="H639" i="1" s="1"/>
  <c r="G452" i="1"/>
  <c r="H452" i="1"/>
  <c r="F460" i="1"/>
  <c r="G460" i="1"/>
  <c r="H460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1" i="1"/>
  <c r="H641" i="1"/>
  <c r="G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D50" i="2"/>
  <c r="G62" i="2"/>
  <c r="D19" i="13"/>
  <c r="C19" i="13" s="1"/>
  <c r="E78" i="2"/>
  <c r="I169" i="1"/>
  <c r="J476" i="1"/>
  <c r="H626" i="1" s="1"/>
  <c r="G476" i="1"/>
  <c r="H623" i="1" s="1"/>
  <c r="J623" i="1" s="1"/>
  <c r="J140" i="1"/>
  <c r="G22" i="2"/>
  <c r="H140" i="1"/>
  <c r="F22" i="13"/>
  <c r="C22" i="13" s="1"/>
  <c r="J655" i="1"/>
  <c r="K550" i="1" l="1"/>
  <c r="H545" i="1"/>
  <c r="F476" i="1"/>
  <c r="H622" i="1" s="1"/>
  <c r="J622" i="1" s="1"/>
  <c r="H662" i="1"/>
  <c r="G338" i="1"/>
  <c r="G352" i="1" s="1"/>
  <c r="H338" i="1"/>
  <c r="H352" i="1" s="1"/>
  <c r="F338" i="1"/>
  <c r="F352" i="1" s="1"/>
  <c r="I257" i="1"/>
  <c r="A31" i="12"/>
  <c r="F257" i="1"/>
  <c r="F271" i="1" s="1"/>
  <c r="C17" i="10"/>
  <c r="K257" i="1"/>
  <c r="K271" i="1" s="1"/>
  <c r="G257" i="1"/>
  <c r="G271" i="1" s="1"/>
  <c r="C16" i="10"/>
  <c r="L211" i="1"/>
  <c r="L328" i="1"/>
  <c r="L256" i="1"/>
  <c r="I52" i="1"/>
  <c r="H620" i="1" s="1"/>
  <c r="L393" i="1"/>
  <c r="C138" i="2" s="1"/>
  <c r="J651" i="1"/>
  <c r="G192" i="1"/>
  <c r="C26" i="10"/>
  <c r="J634" i="1"/>
  <c r="H476" i="1"/>
  <c r="H624" i="1" s="1"/>
  <c r="L419" i="1"/>
  <c r="J552" i="1"/>
  <c r="F552" i="1"/>
  <c r="D5" i="13"/>
  <c r="C5" i="13" s="1"/>
  <c r="I408" i="1"/>
  <c r="H257" i="1"/>
  <c r="H271" i="1" s="1"/>
  <c r="F192" i="1"/>
  <c r="G161" i="2"/>
  <c r="H112" i="1"/>
  <c r="J645" i="1"/>
  <c r="J545" i="1"/>
  <c r="G461" i="1"/>
  <c r="H640" i="1" s="1"/>
  <c r="J640" i="1" s="1"/>
  <c r="K338" i="1"/>
  <c r="K352" i="1" s="1"/>
  <c r="C119" i="2"/>
  <c r="D81" i="2"/>
  <c r="C78" i="2"/>
  <c r="C70" i="2"/>
  <c r="C81" i="2" s="1"/>
  <c r="D62" i="2"/>
  <c r="D63" i="2" s="1"/>
  <c r="G545" i="1"/>
  <c r="J257" i="1"/>
  <c r="J271" i="1" s="1"/>
  <c r="C91" i="2"/>
  <c r="L229" i="1"/>
  <c r="J641" i="1"/>
  <c r="J639" i="1"/>
  <c r="L544" i="1"/>
  <c r="H408" i="1"/>
  <c r="H644" i="1" s="1"/>
  <c r="J644" i="1" s="1"/>
  <c r="H52" i="1"/>
  <c r="H619" i="1" s="1"/>
  <c r="C123" i="2"/>
  <c r="C132" i="2"/>
  <c r="L270" i="1"/>
  <c r="K549" i="1"/>
  <c r="F130" i="2"/>
  <c r="F144" i="2" s="1"/>
  <c r="F145" i="2" s="1"/>
  <c r="E122" i="2"/>
  <c r="C10" i="10"/>
  <c r="L247" i="1"/>
  <c r="C12" i="10"/>
  <c r="I545" i="1"/>
  <c r="L524" i="1"/>
  <c r="I460" i="1"/>
  <c r="I452" i="1"/>
  <c r="I446" i="1"/>
  <c r="G642" i="1" s="1"/>
  <c r="L433" i="1"/>
  <c r="L427" i="1"/>
  <c r="E142" i="2"/>
  <c r="C114" i="2"/>
  <c r="C20" i="10"/>
  <c r="K545" i="1"/>
  <c r="F112" i="1"/>
  <c r="L309" i="1"/>
  <c r="E118" i="2"/>
  <c r="D29" i="13"/>
  <c r="C29" i="13" s="1"/>
  <c r="J643" i="1"/>
  <c r="K598" i="1"/>
  <c r="G647" i="1" s="1"/>
  <c r="J571" i="1"/>
  <c r="F571" i="1"/>
  <c r="K571" i="1"/>
  <c r="L565" i="1"/>
  <c r="H571" i="1"/>
  <c r="L560" i="1"/>
  <c r="K500" i="1"/>
  <c r="I476" i="1"/>
  <c r="H625" i="1" s="1"/>
  <c r="C121" i="2"/>
  <c r="G661" i="1"/>
  <c r="E103" i="2"/>
  <c r="D18" i="2"/>
  <c r="E62" i="2"/>
  <c r="E63" i="2" s="1"/>
  <c r="G164" i="2"/>
  <c r="G157" i="2"/>
  <c r="G156" i="2"/>
  <c r="C18" i="2"/>
  <c r="F18" i="2"/>
  <c r="G624" i="1"/>
  <c r="E31" i="2"/>
  <c r="D31" i="2"/>
  <c r="K551" i="1"/>
  <c r="K552" i="1" s="1"/>
  <c r="H552" i="1"/>
  <c r="L534" i="1"/>
  <c r="C16" i="13"/>
  <c r="E13" i="13"/>
  <c r="C13" i="13" s="1"/>
  <c r="E8" i="13"/>
  <c r="C8" i="13" s="1"/>
  <c r="D12" i="13"/>
  <c r="C12" i="13" s="1"/>
  <c r="L290" i="1"/>
  <c r="I271" i="1"/>
  <c r="L539" i="1"/>
  <c r="K503" i="1"/>
  <c r="L382" i="1"/>
  <c r="G636" i="1" s="1"/>
  <c r="J636" i="1" s="1"/>
  <c r="E109" i="2"/>
  <c r="E115" i="2" s="1"/>
  <c r="C62" i="2"/>
  <c r="F661" i="1"/>
  <c r="C19" i="10"/>
  <c r="C15" i="10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H646" i="1"/>
  <c r="G50" i="2"/>
  <c r="J652" i="1"/>
  <c r="G571" i="1"/>
  <c r="I434" i="1"/>
  <c r="G434" i="1"/>
  <c r="E104" i="2"/>
  <c r="I663" i="1"/>
  <c r="C27" i="10"/>
  <c r="G635" i="1"/>
  <c r="J635" i="1" s="1"/>
  <c r="L571" i="1" l="1"/>
  <c r="H660" i="1"/>
  <c r="H664" i="1" s="1"/>
  <c r="H667" i="1" s="1"/>
  <c r="H648" i="1"/>
  <c r="J648" i="1" s="1"/>
  <c r="C115" i="2"/>
  <c r="F660" i="1"/>
  <c r="F664" i="1" s="1"/>
  <c r="D104" i="2"/>
  <c r="F193" i="1"/>
  <c r="G627" i="1" s="1"/>
  <c r="J627" i="1" s="1"/>
  <c r="L338" i="1"/>
  <c r="L352" i="1" s="1"/>
  <c r="G633" i="1" s="1"/>
  <c r="J633" i="1" s="1"/>
  <c r="J647" i="1"/>
  <c r="I661" i="1"/>
  <c r="J624" i="1"/>
  <c r="I461" i="1"/>
  <c r="H642" i="1" s="1"/>
  <c r="J642" i="1" s="1"/>
  <c r="G104" i="2"/>
  <c r="E128" i="2"/>
  <c r="E145" i="2" s="1"/>
  <c r="L434" i="1"/>
  <c r="G638" i="1" s="1"/>
  <c r="J638" i="1" s="1"/>
  <c r="L257" i="1"/>
  <c r="L271" i="1" s="1"/>
  <c r="G632" i="1" s="1"/>
  <c r="J632" i="1" s="1"/>
  <c r="G660" i="1"/>
  <c r="C28" i="10"/>
  <c r="D23" i="10" s="1"/>
  <c r="F104" i="2"/>
  <c r="G51" i="2"/>
  <c r="D31" i="13"/>
  <c r="C31" i="13" s="1"/>
  <c r="C128" i="2"/>
  <c r="C145" i="2" s="1"/>
  <c r="E51" i="2"/>
  <c r="C25" i="13"/>
  <c r="H33" i="13"/>
  <c r="E33" i="13"/>
  <c r="D35" i="13" s="1"/>
  <c r="L545" i="1"/>
  <c r="C63" i="2"/>
  <c r="C104" i="2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D20" i="10"/>
  <c r="D11" i="10"/>
  <c r="D12" i="10"/>
  <c r="D22" i="10"/>
  <c r="D13" i="10"/>
  <c r="D17" i="10"/>
  <c r="D19" i="10"/>
  <c r="D18" i="10"/>
  <c r="D25" i="10"/>
  <c r="D27" i="10"/>
  <c r="D15" i="10"/>
  <c r="D21" i="10"/>
  <c r="D24" i="10"/>
  <c r="D10" i="10"/>
  <c r="D26" i="10"/>
  <c r="C30" i="10"/>
  <c r="D16" i="10"/>
  <c r="G664" i="1"/>
  <c r="I660" i="1"/>
  <c r="I664" i="1" s="1"/>
  <c r="I672" i="1" s="1"/>
  <c r="C7" i="10" s="1"/>
  <c r="F672" i="1"/>
  <c r="C4" i="10" s="1"/>
  <c r="F667" i="1"/>
  <c r="C41" i="10"/>
  <c r="D38" i="10" s="1"/>
  <c r="D28" i="10" l="1"/>
  <c r="I667" i="1"/>
  <c r="G667" i="1"/>
  <c r="G672" i="1"/>
  <c r="C5" i="10" s="1"/>
  <c r="D37" i="10"/>
  <c r="D36" i="10"/>
  <c r="D35" i="10"/>
  <c r="D40" i="10"/>
  <c r="D39" i="10"/>
  <c r="D41" i="10" l="1"/>
  <c r="F19" i="1"/>
  <c r="G617" i="1" s="1"/>
  <c r="J617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<sst xmlns="http://schemas.openxmlformats.org/spreadsheetml/2006/main" count="3965" uniqueCount="923">
  <si>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</si>
  <si>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</si>
  <si>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</si>
  <si>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</si>
  <si>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</si>
  <si>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</si>
  <si>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</si>
  <si>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</si>
  <si>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</si>
  <si>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</si>
  <si>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</si>
  <si>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</si>
  <si>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</si>
  <si>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</si>
  <si>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</si>
  <si>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</si>
  <si>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</si>
  <si>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</si>
  <si>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</si>
  <si>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</si>
  <si>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</si>
  <si>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</si>
  <si>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</si>
  <si>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</si>
  <si>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</si>
  <si>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</si>
  <si>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</si>
  <si>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</si>
  <si>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</si>
  <si>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</si>
  <si>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</si>
  <si>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</si>
  <si>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</si>
  <si>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</si>
  <si>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</si>
  <si>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</si>
  <si>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</si>
  <si>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</si>
  <si>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</si>
  <si>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</si>
  <si>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</si>
  <si>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</si>
  <si>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</si>
  <si>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</si>
  <si>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</si>
  <si>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</si>
  <si>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</si>
  <si>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</si>
  <si>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</si>
  <si>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</si>
  <si>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</si>
  <si>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</si>
  <si>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</si>
  <si>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</si>
  <si>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</si>
  <si>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</si>
  <si>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</si>
  <si>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</si>
  <si>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</si>
  <si>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</si>
  <si>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</si>
  <si>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</si>
  <si>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</si>
  <si>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</si>
  <si>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</si>
  <si>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</si>
  <si>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</si>
  <si>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</si>
  <si>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</si>
  <si>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</si>
  <si>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</si>
  <si>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</si>
  <si>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</si>
  <si>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</si>
  <si>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</si>
  <si>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</si>
  <si>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</si>
  <si>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</si>
  <si>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</si>
  <si>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</si>
  <si>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</si>
  <si>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</si>
  <si>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</si>
  <si>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</si>
  <si>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</si>
  <si>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</si>
  <si>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</si>
  <si>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</si>
  <si>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</si>
  <si>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</si>
  <si>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</si>
  <si>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</si>
  <si>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</si>
  <si>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</si>
  <si>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</si>
  <si>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</si>
  <si>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</si>
  <si>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</si>
  <si>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</si>
  <si>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</si>
  <si>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</si>
  <si>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</si>
  <si>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</si>
  <si>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</si>
  <si>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</si>
  <si>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</si>
  <si>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</si>
  <si>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</si>
  <si>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</si>
  <si>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</si>
  <si>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</si>
  <si>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</si>
  <si>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</si>
  <si>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</si>
  <si>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</si>
  <si>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</si>
  <si>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</si>
  <si>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</si>
  <si>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</si>
  <si>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</si>
  <si>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</si>
  <si>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</si>
  <si>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</si>
  <si>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</si>
  <si>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</si>
  <si>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</si>
  <si>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</si>
  <si>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</si>
  <si>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</si>
  <si>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</si>
  <si>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</si>
  <si>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</si>
  <si>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</si>
  <si>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</si>
  <si>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</si>
  <si>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</si>
  <si>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</si>
  <si>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</si>
  <si>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</si>
  <si>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</si>
  <si>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</si>
  <si>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</si>
  <si>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</si>
  <si>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</si>
  <si>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</si>
  <si>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</si>
  <si>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</si>
  <si>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</si>
  <si>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</si>
  <si>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</si>
  <si>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</si>
  <si>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</si>
  <si>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</si>
  <si>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</si>
  <si>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</si>
  <si>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</si>
  <si>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</si>
  <si>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</si>
  <si>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</si>
  <si>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</si>
  <si>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</si>
  <si>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</si>
  <si>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</si>
  <si>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</si>
  <si>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</si>
  <si>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</si>
  <si>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</si>
  <si>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</si>
  <si>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</si>
  <si>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</si>
  <si>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</si>
  <si>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</si>
  <si>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</si>
  <si>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</si>
  <si>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</si>
  <si>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</si>
  <si>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</si>
  <si>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</si>
  <si>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</si>
  <si>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</si>
  <si>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</si>
  <si>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</si>
  <si>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</si>
  <si>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</si>
  <si>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</si>
  <si>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</si>
  <si>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</si>
  <si>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</si>
  <si>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</si>
  <si>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</si>
  <si>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</si>
  <si>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</si>
  <si>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</si>
  <si>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</si>
  <si>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</si>
  <si>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</si>
  <si>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</si>
  <si>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</si>
  <si>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</si>
  <si>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</si>
  <si>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</si>
  <si>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</si>
  <si>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</si>
  <si>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</si>
  <si>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</si>
  <si>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</si>
  <si>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</si>
  <si>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</si>
  <si>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</si>
  <si>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</si>
  <si>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</si>
  <si>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</si>
  <si>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</si>
  <si>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</si>
  <si>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</si>
  <si>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</si>
  <si>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</si>
  <si>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</si>
  <si>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</si>
  <si>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</si>
  <si>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</si>
  <si>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</si>
  <si>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</si>
  <si>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</si>
  <si>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</si>
  <si>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</si>
  <si>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</si>
  <si>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</si>
  <si>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</si>
  <si>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</si>
  <si>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</si>
  <si>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</si>
  <si>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</si>
  <si>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</si>
  <si>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</si>
  <si>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</si>
  <si>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</si>
  <si>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</si>
  <si>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</si>
  <si>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</si>
  <si>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</si>
  <si>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</si>
  <si>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</si>
  <si>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</si>
  <si>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</si>
  <si>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</si>
  <si>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</si>
  <si>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</si>
  <si>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</si>
  <si>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</si>
  <si>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</si>
  <si>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</si>
  <si>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</si>
  <si>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</si>
  <si>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</si>
  <si>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</si>
  <si>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</si>
  <si>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</si>
  <si>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</si>
  <si>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</si>
  <si>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</si>
  <si>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</si>
  <si>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</si>
  <si>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</si>
  <si>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</si>
  <si>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</si>
  <si>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</si>
  <si>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</si>
  <si>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</si>
  <si>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</si>
  <si>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</si>
  <si>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</si>
  <si>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</si>
  <si>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</si>
  <si>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</si>
  <si>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</si>
  <si>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</si>
  <si>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</si>
  <si>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</si>
  <si>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</si>
  <si>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</si>
  <si>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</si>
  <si>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</si>
  <si>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</si>
  <si>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</si>
  <si>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</si>
  <si>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</si>
  <si>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</si>
  <si>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</si>
  <si>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</si>
  <si>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</si>
  <si>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</si>
  <si>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</si>
  <si>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</si>
  <si>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</si>
  <si>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</si>
  <si>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</si>
  <si>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</si>
  <si>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</si>
  <si>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</si>
  <si>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</si>
  <si>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</si>
  <si>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</si>
  <si>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</si>
  <si>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</si>
  <si>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</si>
  <si>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</si>
  <si>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</si>
  <si>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</si>
  <si>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</si>
  <si>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</si>
  <si>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</si>
  <si>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</si>
  <si>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</si>
  <si>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</si>
  <si>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</si>
  <si>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</si>
  <si>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</si>
  <si>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</si>
  <si>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</si>
  <si>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</si>
  <si>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</si>
  <si>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</si>
  <si>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</si>
  <si>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</si>
  <si>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</si>
  <si>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</si>
  <si>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</si>
  <si>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</si>
  <si>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</si>
  <si>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</si>
  <si>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</si>
  <si>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</si>
  <si>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</si>
  <si>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</si>
  <si>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</si>
  <si>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</si>
  <si>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</si>
  <si>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</si>
  <si>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</si>
  <si>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</si>
  <si>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</si>
  <si>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</si>
  <si>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</si>
  <si>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</si>
  <si>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</si>
  <si>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</si>
  <si>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</si>
  <si>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</si>
  <si>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</si>
  <si>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</si>
  <si>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</si>
  <si>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</si>
  <si>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</si>
  <si>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</si>
  <si>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</si>
  <si>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</si>
  <si>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</si>
  <si>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</si>
  <si>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</si>
  <si>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</si>
  <si>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</si>
  <si>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</si>
  <si>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</si>
  <si>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</si>
  <si>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</si>
  <si>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</si>
  <si>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</si>
  <si>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</si>
  <si>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</si>
  <si>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</si>
  <si>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</si>
  <si>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</si>
  <si>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</si>
  <si>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</si>
  <si>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</si>
  <si>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</si>
  <si>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</si>
  <si>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</si>
  <si>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</si>
  <si>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</si>
  <si>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</si>
  <si>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</si>
  <si>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</si>
  <si>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</si>
  <si>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</si>
  <si>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</si>
  <si>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</si>
  <si>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</si>
  <si>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</si>
  <si>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</si>
  <si>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</si>
  <si>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</si>
  <si>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</si>
  <si>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</si>
  <si>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</si>
  <si>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</si>
  <si>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</si>
  <si>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</si>
  <si>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</si>
  <si>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</si>
  <si>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</si>
  <si>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</si>
  <si>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</si>
  <si>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</si>
  <si>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</si>
  <si>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</si>
  <si>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</si>
  <si>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</si>
  <si>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</si>
  <si>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</si>
  <si>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</si>
  <si>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</si>
  <si>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</si>
  <si>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</si>
  <si>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</si>
  <si>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</si>
  <si>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</si>
  <si>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</si>
  <si>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</si>
  <si>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</si>
  <si>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</si>
  <si>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</si>
  <si>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</si>
  <si>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</si>
  <si>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</si>
  <si>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</si>
  <si>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</si>
  <si>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</si>
  <si>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</si>
  <si>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</si>
  <si>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</si>
  <si>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</si>
  <si>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</si>
  <si>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</si>
  <si>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</si>
  <si>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</si>
  <si>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</si>
  <si>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</si>
  <si>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</si>
  <si>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</si>
  <si>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</si>
  <si>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</si>
  <si>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</si>
  <si>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</si>
  <si>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</si>
  <si>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</si>
  <si>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</si>
  <si>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</si>
  <si>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</si>
  <si>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</si>
  <si>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</si>
  <si>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</si>
  <si>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</si>
  <si>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</si>
  <si>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</si>
  <si>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</si>
  <si>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</si>
  <si>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</si>
  <si>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</si>
  <si>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</si>
  <si>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</si>
  <si>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</si>
  <si>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</si>
  <si>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</si>
  <si>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</si>
  <si>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</si>
  <si>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</si>
  <si>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</si>
  <si>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</si>
  <si>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</si>
  <si>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</si>
  <si>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</si>
  <si>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</si>
  <si>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</si>
  <si>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</si>
  <si>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</si>
  <si>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</si>
  <si>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</si>
  <si>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</si>
  <si>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</si>
  <si>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</si>
  <si>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</si>
  <si>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</si>
  <si>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</si>
  <si>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</si>
  <si>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</si>
  <si>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</si>
  <si>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</si>
  <si>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</si>
  <si>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</si>
  <si>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</si>
  <si>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</si>
  <si>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</si>
  <si>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</si>
  <si>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</si>
  <si>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</si>
  <si>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</si>
  <si>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</si>
  <si>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</si>
  <si>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</si>
  <si>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</si>
  <si>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</si>
  <si>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</si>
  <si>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</si>
  <si>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</si>
  <si>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</si>
  <si>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</si>
  <si>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</si>
  <si>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</si>
  <si>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</si>
  <si>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</si>
  <si>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</si>
  <si>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</si>
  <si>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</si>
  <si>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</si>
  <si>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</si>
  <si>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</si>
  <si>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</si>
  <si>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</si>
  <si>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</si>
  <si>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</si>
  <si>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</si>
  <si>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</si>
  <si>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</si>
  <si>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</si>
  <si>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</si>
  <si>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</si>
  <si>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</si>
  <si>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</si>
  <si>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</si>
  <si>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</si>
  <si>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</si>
  <si>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</si>
  <si>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</si>
  <si>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</si>
  <si>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</si>
  <si>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</si>
  <si>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</si>
  <si>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</si>
  <si>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</si>
  <si>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</si>
  <si>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</si>
  <si>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</si>
  <si>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</si>
  <si>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</si>
  <si>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</si>
  <si>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</si>
  <si>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</si>
  <si>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</si>
  <si>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</si>
  <si>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</si>
  <si>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</si>
  <si>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</si>
  <si>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</si>
  <si>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</si>
  <si>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</si>
  <si>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</si>
  <si>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</si>
  <si>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</si>
  <si>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</si>
  <si>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</si>
  <si>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</si>
  <si>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</si>
  <si>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</si>
  <si>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</si>
  <si>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</si>
  <si>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</si>
  <si>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</si>
  <si>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</si>
  <si>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</si>
  <si>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</si>
  <si>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</si>
  <si>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</si>
  <si>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</si>
  <si>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</si>
  <si>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</si>
  <si>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</si>
  <si>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</si>
  <si>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</si>
  <si>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</si>
  <si>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</si>
  <si>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</si>
  <si>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</si>
  <si>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</si>
  <si>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</si>
  <si>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</si>
  <si>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</si>
  <si>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</si>
  <si>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</si>
  <si>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</si>
  <si>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</si>
  <si>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</si>
  <si>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</si>
  <si>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</si>
  <si>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</si>
  <si>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</si>
  <si>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</si>
  <si>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</si>
  <si>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</si>
  <si>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</si>
  <si>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</si>
  <si>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</si>
  <si>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</si>
  <si>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</si>
  <si>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</si>
  <si>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</si>
  <si>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</si>
  <si>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</si>
  <si>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</si>
  <si>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</si>
  <si>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</si>
  <si>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</si>
  <si>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</si>
  <si>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</si>
  <si>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</si>
  <si>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</si>
  <si>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</si>
  <si>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</si>
  <si>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</si>
  <si>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</si>
  <si>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</si>
  <si>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</si>
  <si>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</si>
  <si>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</si>
  <si>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</si>
  <si>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</si>
  <si>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</si>
  <si>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</si>
  <si>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</si>
  <si>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</si>
  <si>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</si>
  <si>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</si>
  <si>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</si>
  <si>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</si>
  <si>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</si>
  <si>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</si>
  <si>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</si>
  <si>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</si>
  <si>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</si>
  <si>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</si>
  <si>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</si>
  <si>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</si>
  <si>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</si>
  <si>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</si>
  <si>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</si>
  <si>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</si>
  <si>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</si>
  <si>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</si>
  <si>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</si>
  <si>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</si>
  <si>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</si>
  <si>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</si>
  <si>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</si>
  <si>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</si>
  <si>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</si>
  <si>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</si>
  <si>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</si>
  <si>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</si>
  <si>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</si>
  <si>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</si>
  <si>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</si>
  <si>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</si>
  <si>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</si>
  <si>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</si>
  <si>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</si>
  <si>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</si>
  <si>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</si>
  <si>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</si>
  <si>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</si>
  <si>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</si>
  <si>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</si>
  <si>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</si>
  <si>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</si>
  <si>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</si>
  <si>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</si>
  <si>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</si>
  <si>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</si>
  <si>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</si>
  <si>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</si>
  <si>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</si>
  <si>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</si>
  <si>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</si>
  <si>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</si>
  <si>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</si>
  <si>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</si>
  <si>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</si>
  <si>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</si>
  <si>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</si>
  <si>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</si>
  <si>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</si>
  <si>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</si>
  <si>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</si>
  <si>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</si>
  <si>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</si>
  <si>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</si>
  <si>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</si>
  <si>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</si>
  <si>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</si>
  <si>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</si>
  <si>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</si>
  <si>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</si>
  <si>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</si>
  <si>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</si>
  <si>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</si>
  <si>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</si>
  <si>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</si>
  <si>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</si>
  <si>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</si>
  <si>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</si>
  <si>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</si>
  <si>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</si>
  <si>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</si>
  <si>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</si>
  <si>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</si>
  <si>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</si>
  <si>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</si>
  <si>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</si>
  <si>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</si>
  <si>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</si>
  <si>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</si>
  <si>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</si>
  <si>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</si>
  <si>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</si>
  <si>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</si>
  <si>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</si>
  <si>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</si>
  <si>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</si>
  <si>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</si>
  <si>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</si>
  <si>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</si>
  <si>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</si>
  <si>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</si>
  <si>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</si>
  <si>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</si>
  <si>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</si>
  <si>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</si>
  <si>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</si>
  <si>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</si>
  <si>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</si>
  <si>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</si>
  <si>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</si>
  <si>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</si>
  <si>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</si>
  <si>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</si>
  <si>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</si>
  <si>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</si>
  <si>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</si>
  <si>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</si>
  <si>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</si>
  <si>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</si>
  <si>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</si>
  <si>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</si>
  <si>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</si>
  <si>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</si>
  <si>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</si>
  <si>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</si>
  <si>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</si>
  <si>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</si>
  <si>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</si>
  <si>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</si>
  <si>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</si>
  <si>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</si>
  <si>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</si>
  <si>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</si>
  <si>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</si>
  <si>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</si>
  <si>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</si>
  <si>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</si>
  <si>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</si>
  <si>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</si>
  <si>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</si>
  <si>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</si>
  <si>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</si>
  <si>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</si>
  <si>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</si>
  <si>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</si>
  <si>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</si>
  <si>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</si>
  <si>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</si>
  <si>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</si>
  <si>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</si>
  <si>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</si>
  <si>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</si>
  <si>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</si>
  <si>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</si>
  <si>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</si>
  <si>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</si>
  <si>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</si>
  <si>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</si>
  <si>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</si>
  <si>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</si>
  <si>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</si>
  <si>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</si>
  <si>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</si>
  <si>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</si>
  <si>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</si>
  <si>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</si>
  <si>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</si>
  <si>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</si>
  <si>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</si>
  <si>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</si>
  <si>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</si>
  <si>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</si>
  <si>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</si>
  <si>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</si>
  <si>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</si>
  <si>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</si>
  <si>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</si>
  <si>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</si>
  <si>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</si>
  <si>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</si>
  <si>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</si>
  <si>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</si>
  <si>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</si>
  <si>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</si>
  <si>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</si>
  <si>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</si>
  <si>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</si>
  <si>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</si>
  <si>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</si>
  <si>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</si>
  <si>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</si>
  <si>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</si>
  <si>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</si>
  <si>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</si>
  <si>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</si>
  <si>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</si>
  <si>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</si>
  <si>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</si>
  <si>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</si>
  <si>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</si>
  <si>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</si>
  <si>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</si>
  <si>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</si>
  <si>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</si>
  <si>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</si>
  <si>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</si>
  <si>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</si>
  <si>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</si>
  <si>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</si>
  <si>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</si>
  <si>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</si>
  <si>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</si>
  <si>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</si>
  <si>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</si>
  <si>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</si>
  <si>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</si>
  <si>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</si>
  <si>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</si>
  <si>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</si>
  <si>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</si>
  <si>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</si>
  <si>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</si>
  <si>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</si>
  <si>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</si>
  <si>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</si>
  <si>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</si>
  <si>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</si>
  <si>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</si>
  <si>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</si>
  <si>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</si>
  <si>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</si>
  <si>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</si>
  <si>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</si>
  <si>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</si>
  <si>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</si>
  <si>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</si>
  <si>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</si>
  <si>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</si>
  <si>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</si>
  <si>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</si>
  <si>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</si>
  <si>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</si>
  <si>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</si>
  <si>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</si>
  <si>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</si>
  <si>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</si>
  <si>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</si>
  <si>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</si>
  <si>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</si>
  <si>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</si>
  <si>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</si>
  <si>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</si>
  <si>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</si>
  <si>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</si>
  <si>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</si>
  <si>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</si>
  <si>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</si>
  <si>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</si>
  <si>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</si>
  <si>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</si>
  <si>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</si>
  <si>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</si>
  <si>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</si>
  <si>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</si>
  <si>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</si>
  <si>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</si>
  <si>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</si>
  <si>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</si>
  <si>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</si>
  <si>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</si>
  <si>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</si>
  <si>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</si>
  <si>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</si>
  <si>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</si>
  <si>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</si>
  <si>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</si>
  <si>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</si>
  <si>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</si>
  <si>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</si>
  <si>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</si>
  <si>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8/21/03</t>
  </si>
  <si>
    <t>7/6/2005</t>
  </si>
  <si>
    <t>3/2/2009</t>
  </si>
  <si>
    <t>11/2008</t>
  </si>
  <si>
    <t>2/2012</t>
  </si>
  <si>
    <t>8/21/18</t>
  </si>
  <si>
    <t>7/5/2021</t>
  </si>
  <si>
    <t>3/1/2019</t>
  </si>
  <si>
    <t>11/2022</t>
  </si>
  <si>
    <t>2/2017</t>
  </si>
  <si>
    <t>Haverhill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</si>
</sst>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922</v>
      </c>
      <c r="B2" s="21">
        <v>238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-385955.7+550</f>
        <v>-385405.7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416330.18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282752.52</v>
      </c>
      <c r="G12" s="18"/>
      <c r="H12" s="18"/>
      <c r="I12" s="18">
        <v>177.32</v>
      </c>
      <c r="J12" s="67">
        <f>SUM(I441)</f>
        <v>100000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884273.87</v>
      </c>
      <c r="G13" s="18">
        <v>29168.14</v>
      </c>
      <c r="H13" s="18">
        <f>185542.09+38059.28</f>
        <v>223601.37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5412.32</v>
      </c>
      <c r="G14" s="18"/>
      <c r="H14" s="18">
        <v>47833.33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8919.5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f>-(-645.66-27482.77-7030.34-0.77-89739.98+3364.48+11671.05-655.03+1.8+1626.23-2387.15)</f>
        <v>111278.13999999998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907230.64999999991</v>
      </c>
      <c r="G19" s="41">
        <f>SUM(G9:G18)</f>
        <v>29168.14</v>
      </c>
      <c r="H19" s="41">
        <f>SUM(H9:H18)</f>
        <v>271434.7</v>
      </c>
      <c r="I19" s="41">
        <f>SUM(I9:I18)</f>
        <v>177.32</v>
      </c>
      <c r="J19" s="41">
        <f>SUM(J9:J18)</f>
        <v>516330.18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24690.92</v>
      </c>
      <c r="H22" s="18">
        <f>238576.33-1778.41</f>
        <v>236797.91999999998</v>
      </c>
      <c r="I22" s="18"/>
      <c r="J22" s="67">
        <f>SUM(I448)</f>
        <v>221441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8087.5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360335.06+26426.19</f>
        <v>386761.25</v>
      </c>
      <c r="G24" s="18"/>
      <c r="H24" s="18">
        <f>6151+2718.6</f>
        <v>8869.6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>
        <v>4477.22</v>
      </c>
      <c r="H29" s="18">
        <f>8183.55+88.42+0.03-78.32</f>
        <v>8193.68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15795.09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394848.75</v>
      </c>
      <c r="G32" s="41">
        <f>SUM(G22:G31)</f>
        <v>29168.14</v>
      </c>
      <c r="H32" s="41">
        <f>SUM(H22:H31)</f>
        <v>269656.28999999998</v>
      </c>
      <c r="I32" s="41">
        <f>SUM(I22:I31)</f>
        <v>0</v>
      </c>
      <c r="J32" s="41">
        <f>SUM(J22:J31)</f>
        <v>221441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8919.5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168451+12426</f>
        <v>180877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1779.56+(4000-4001.15)</f>
        <v>1778.4099999999999</v>
      </c>
      <c r="I48" s="18">
        <f>2863.07-2685.75</f>
        <v>177.32000000000016</v>
      </c>
      <c r="J48" s="13">
        <f>SUM(I459)</f>
        <v>294889.18000000005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100000+79748.33+0.02+(13748861.6-13593598.55)-100000-12426</f>
        <v>222585.39999999886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512381.89999999886</v>
      </c>
      <c r="G51" s="41">
        <f>SUM(G35:G50)</f>
        <v>0</v>
      </c>
      <c r="H51" s="41">
        <f>SUM(H35:H50)</f>
        <v>1778.4099999999999</v>
      </c>
      <c r="I51" s="41">
        <f>SUM(I35:I50)</f>
        <v>177.32000000000016</v>
      </c>
      <c r="J51" s="41">
        <f>SUM(J35:J50)</f>
        <v>294889.18000000005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907230.64999999886</v>
      </c>
      <c r="G52" s="41">
        <f>G51+G32</f>
        <v>29168.14</v>
      </c>
      <c r="H52" s="41">
        <f>H51+H32</f>
        <v>271434.69999999995</v>
      </c>
      <c r="I52" s="41">
        <f>I51+I32</f>
        <v>177.32000000000016</v>
      </c>
      <c r="J52" s="41">
        <f>J51+J32</f>
        <v>516330.18000000005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6484054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6484054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450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29000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978522.75</f>
        <v>978522.75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116380.26</f>
        <v>116380.26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1124353.01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3175.47+37467.97</f>
        <v>40643.440000000002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105494.54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2795.5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5098.44+433.39+27800.21+1133.56+5057.88+2542.5+4000</f>
        <v>46065.979999999996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f>6400</f>
        <v>6400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27483.4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13668.65</f>
        <v>13668.65</v>
      </c>
      <c r="G110" s="18">
        <v>16870.150000000001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90990.989999999991</v>
      </c>
      <c r="G111" s="41">
        <f>SUM(G96:G110)</f>
        <v>122364.69</v>
      </c>
      <c r="H111" s="41">
        <f>SUM(H96:H110)</f>
        <v>46065.979999999996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7699398</v>
      </c>
      <c r="G112" s="41">
        <f>G60+G111</f>
        <v>122364.69</v>
      </c>
      <c r="H112" s="41">
        <f>H60+H79+H94+H111</f>
        <v>46065.979999999996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4125153.63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751038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4876191.63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191672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294099.12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116256.56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15645.44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3602.48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500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618173.11999999988</v>
      </c>
      <c r="G136" s="41">
        <f>SUM(G123:G135)</f>
        <v>3602.48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5494364.75</v>
      </c>
      <c r="G140" s="41">
        <f>G121+SUM(G136:G137)</f>
        <v>3602.48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224391.79-644.36</f>
        <v>223747.43000000002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8700+54916.24</f>
        <v>63616.24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17303.85+130133.61</f>
        <v>147437.46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353475.25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353475.25</v>
      </c>
      <c r="G162" s="41">
        <f>SUM(G150:G161)</f>
        <v>147437.46</v>
      </c>
      <c r="H162" s="41">
        <f>SUM(H150:H161)</f>
        <v>287363.67000000004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1623.6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355098.85</v>
      </c>
      <c r="G169" s="41">
        <f>G147+G162+SUM(G163:G168)</f>
        <v>147437.46</v>
      </c>
      <c r="H169" s="41">
        <f>H147+H162+SUM(H163:H168)</f>
        <v>287363.67000000004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25169.61</v>
      </c>
      <c r="H179" s="18"/>
      <c r="I179" s="18"/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25169.61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200000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200000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200000</v>
      </c>
      <c r="G192" s="41">
        <f>G183+SUM(G188:G191)</f>
        <v>25169.61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13748861.6</v>
      </c>
      <c r="G193" s="47">
        <f>G112+G140+G169+G192</f>
        <v>298574.24</v>
      </c>
      <c r="H193" s="47">
        <f>H112+H140+H169+H192</f>
        <v>333429.65000000002</v>
      </c>
      <c r="I193" s="47">
        <f>I112+I140+I169+I192</f>
        <v>0</v>
      </c>
      <c r="J193" s="47">
        <f>J112+J140+J192</f>
        <v>100000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770853.85</v>
      </c>
      <c r="G197" s="18">
        <v>377796.36</v>
      </c>
      <c r="H197" s="18">
        <f>66763.6+413.61</f>
        <v>67177.210000000006</v>
      </c>
      <c r="I197" s="18">
        <v>42228.94</v>
      </c>
      <c r="J197" s="18">
        <v>1817.96</v>
      </c>
      <c r="K197" s="18">
        <v>3062.01</v>
      </c>
      <c r="L197" s="19">
        <f>SUM(F197:K197)</f>
        <v>1262936.3299999998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357937.23</v>
      </c>
      <c r="G198" s="18">
        <v>176970.99</v>
      </c>
      <c r="H198" s="18">
        <f>50362.23+705.91</f>
        <v>51068.140000000007</v>
      </c>
      <c r="I198" s="18">
        <v>1486.15</v>
      </c>
      <c r="J198" s="18">
        <v>2832.47</v>
      </c>
      <c r="K198" s="18"/>
      <c r="L198" s="19">
        <f>SUM(F198:K198)</f>
        <v>590294.98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22743.119999999999</v>
      </c>
      <c r="G200" s="18">
        <v>3318.58</v>
      </c>
      <c r="H200" s="18"/>
      <c r="I200" s="18">
        <v>36.869999999999997</v>
      </c>
      <c r="J200" s="18"/>
      <c r="K200" s="18"/>
      <c r="L200" s="19">
        <f>SUM(F200:K200)</f>
        <v>26098.569999999996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149918.35</v>
      </c>
      <c r="G202" s="18">
        <v>73784.34</v>
      </c>
      <c r="H202" s="18">
        <f>149258.2+2119.25</f>
        <v>151377.45000000001</v>
      </c>
      <c r="I202" s="18">
        <v>3427.23</v>
      </c>
      <c r="J202" s="18"/>
      <c r="K202" s="18"/>
      <c r="L202" s="19">
        <f t="shared" ref="L202:L208" si="0">SUM(F202:K202)</f>
        <v>378507.37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20653.28</v>
      </c>
      <c r="G203" s="18">
        <v>23838.7</v>
      </c>
      <c r="H203" s="18">
        <f>10642</f>
        <v>10642</v>
      </c>
      <c r="I203" s="18">
        <v>340.83</v>
      </c>
      <c r="J203" s="18"/>
      <c r="K203" s="18"/>
      <c r="L203" s="19">
        <f t="shared" si="0"/>
        <v>55474.81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3624.86</v>
      </c>
      <c r="G204" s="18">
        <v>277.17</v>
      </c>
      <c r="H204" s="18">
        <f>233148.57+11704.57</f>
        <v>244853.14</v>
      </c>
      <c r="I204" s="18">
        <v>530.72</v>
      </c>
      <c r="J204" s="18"/>
      <c r="K204" s="18">
        <v>1207.82</v>
      </c>
      <c r="L204" s="19">
        <f t="shared" si="0"/>
        <v>250493.71000000002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110173.03</v>
      </c>
      <c r="G205" s="18">
        <v>49551.74</v>
      </c>
      <c r="H205" s="18">
        <v>4343.37</v>
      </c>
      <c r="I205" s="18">
        <v>2748.2</v>
      </c>
      <c r="J205" s="18">
        <v>249.95</v>
      </c>
      <c r="K205" s="18"/>
      <c r="L205" s="19">
        <f t="shared" si="0"/>
        <v>167066.29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46456.5</v>
      </c>
      <c r="G207" s="18">
        <v>14572.76</v>
      </c>
      <c r="H207" s="18">
        <f>18310.44+77382.94+3859.52</f>
        <v>99552.900000000009</v>
      </c>
      <c r="I207" s="18">
        <v>60665.2</v>
      </c>
      <c r="J207" s="18">
        <v>108.15</v>
      </c>
      <c r="K207" s="18">
        <v>525</v>
      </c>
      <c r="L207" s="19">
        <f t="shared" si="0"/>
        <v>221880.50999999998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8657.02</v>
      </c>
      <c r="G208" s="18">
        <v>4127.2</v>
      </c>
      <c r="H208" s="18">
        <f>2581.11+117234.15</f>
        <v>119815.26</v>
      </c>
      <c r="I208" s="18">
        <v>644.69000000000005</v>
      </c>
      <c r="J208" s="18"/>
      <c r="K208" s="18">
        <v>38.4</v>
      </c>
      <c r="L208" s="19">
        <f t="shared" si="0"/>
        <v>133282.56999999998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f>16193</f>
        <v>16193</v>
      </c>
      <c r="H209" s="18">
        <f>12724.77+3811.96</f>
        <v>16536.73</v>
      </c>
      <c r="I209" s="18"/>
      <c r="J209" s="18"/>
      <c r="K209" s="18">
        <v>7939.6</v>
      </c>
      <c r="L209" s="19">
        <f>SUM(F209:K209)</f>
        <v>40669.33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1491017.2400000005</v>
      </c>
      <c r="G211" s="41">
        <f t="shared" si="1"/>
        <v>740430.83999999985</v>
      </c>
      <c r="H211" s="41">
        <f t="shared" si="1"/>
        <v>765366.20000000007</v>
      </c>
      <c r="I211" s="41">
        <f t="shared" si="1"/>
        <v>112108.83000000002</v>
      </c>
      <c r="J211" s="41">
        <f t="shared" si="1"/>
        <v>5008.53</v>
      </c>
      <c r="K211" s="41">
        <f t="shared" si="1"/>
        <v>12772.83</v>
      </c>
      <c r="L211" s="41">
        <f t="shared" si="1"/>
        <v>3126704.4699999997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1213291.67</v>
      </c>
      <c r="G215" s="18">
        <v>579575.84</v>
      </c>
      <c r="H215" s="18">
        <f>125+980.87</f>
        <v>1105.8699999999999</v>
      </c>
      <c r="I215" s="18">
        <v>55129.51</v>
      </c>
      <c r="J215" s="18">
        <v>5241.03</v>
      </c>
      <c r="K215" s="18">
        <v>3639.45</v>
      </c>
      <c r="L215" s="19">
        <f>SUM(F215:K215)</f>
        <v>1857983.3699999999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439403.76</v>
      </c>
      <c r="G216" s="18">
        <v>210049.6</v>
      </c>
      <c r="H216" s="18">
        <v>281833.63</v>
      </c>
      <c r="I216" s="18">
        <v>3620.68</v>
      </c>
      <c r="J216" s="18"/>
      <c r="K216" s="18"/>
      <c r="L216" s="19">
        <f>SUM(F216:K216)</f>
        <v>934907.67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49782.05</v>
      </c>
      <c r="G218" s="18">
        <v>12807.16</v>
      </c>
      <c r="H218" s="18">
        <f>8773.5+2611.89+2765.97</f>
        <v>14151.359999999999</v>
      </c>
      <c r="I218" s="18">
        <v>4878.2700000000004</v>
      </c>
      <c r="J218" s="18"/>
      <c r="K218" s="18">
        <v>1450</v>
      </c>
      <c r="L218" s="19">
        <f>SUM(F218:K218)</f>
        <v>83068.840000000011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112316.95</v>
      </c>
      <c r="G220" s="18">
        <v>65788.91</v>
      </c>
      <c r="H220" s="18">
        <f>100028.54+2292.25+284.87</f>
        <v>102605.65999999999</v>
      </c>
      <c r="I220" s="18">
        <v>4920.78</v>
      </c>
      <c r="J220" s="18"/>
      <c r="K220" s="18">
        <v>707</v>
      </c>
      <c r="L220" s="19">
        <f t="shared" ref="L220:L226" si="2">SUM(F220:K220)</f>
        <v>286339.3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68511.58</v>
      </c>
      <c r="G221" s="18">
        <v>52638.44</v>
      </c>
      <c r="H221" s="18">
        <f>25086.77+3579.94</f>
        <v>28666.71</v>
      </c>
      <c r="I221" s="18">
        <v>363.43</v>
      </c>
      <c r="J221" s="18">
        <v>698</v>
      </c>
      <c r="K221" s="18"/>
      <c r="L221" s="19">
        <f t="shared" si="2"/>
        <v>150878.16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4277.78</v>
      </c>
      <c r="G222" s="18">
        <v>327.04000000000002</v>
      </c>
      <c r="H222" s="18">
        <f>248276.93+13399.1</f>
        <v>261676.03</v>
      </c>
      <c r="I222" s="18">
        <v>246.66</v>
      </c>
      <c r="J222" s="18"/>
      <c r="K222" s="18">
        <v>1396.53</v>
      </c>
      <c r="L222" s="19">
        <f t="shared" si="2"/>
        <v>267924.03999999998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229025.86</v>
      </c>
      <c r="G223" s="18">
        <v>119790.32</v>
      </c>
      <c r="H223" s="18">
        <f>250+5347.3</f>
        <v>5597.3</v>
      </c>
      <c r="I223" s="18">
        <v>1965.32</v>
      </c>
      <c r="J223" s="18"/>
      <c r="K223" s="18">
        <v>2026.07</v>
      </c>
      <c r="L223" s="19">
        <f t="shared" si="2"/>
        <v>358404.87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77854.09</v>
      </c>
      <c r="G225" s="18">
        <v>30337.54</v>
      </c>
      <c r="H225" s="18">
        <f>20584.85+106882.97+4801.45</f>
        <v>132269.27000000002</v>
      </c>
      <c r="I225" s="18">
        <v>72287.25</v>
      </c>
      <c r="J225" s="18">
        <v>1041.72</v>
      </c>
      <c r="K225" s="18">
        <v>300</v>
      </c>
      <c r="L225" s="19">
        <f t="shared" si="2"/>
        <v>314089.87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9730.5300000000007</v>
      </c>
      <c r="G226" s="18">
        <v>4846.59</v>
      </c>
      <c r="H226" s="18">
        <f>1848.22+155607.2</f>
        <v>157455.42000000001</v>
      </c>
      <c r="I226" s="18">
        <v>583.62</v>
      </c>
      <c r="J226" s="18"/>
      <c r="K226" s="18">
        <v>44.4</v>
      </c>
      <c r="L226" s="19">
        <f t="shared" si="2"/>
        <v>172660.56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f>35732.97</f>
        <v>35732.97</v>
      </c>
      <c r="I227" s="18"/>
      <c r="J227" s="18"/>
      <c r="K227" s="18"/>
      <c r="L227" s="19">
        <f>SUM(F227:K227)</f>
        <v>35732.97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2204194.2699999996</v>
      </c>
      <c r="G229" s="41">
        <f>SUM(G215:G228)</f>
        <v>1076161.4400000002</v>
      </c>
      <c r="H229" s="41">
        <f>SUM(H215:H228)</f>
        <v>1021094.2200000001</v>
      </c>
      <c r="I229" s="41">
        <f>SUM(I215:I228)</f>
        <v>143995.52000000002</v>
      </c>
      <c r="J229" s="41">
        <f>SUM(J215:J228)</f>
        <v>6980.75</v>
      </c>
      <c r="K229" s="41">
        <f t="shared" si="3"/>
        <v>9563.4499999999989</v>
      </c>
      <c r="L229" s="41">
        <f t="shared" si="3"/>
        <v>4461989.6499999994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1111311.81</v>
      </c>
      <c r="G233" s="18">
        <v>548515.71</v>
      </c>
      <c r="H233" s="18">
        <v>2331.15</v>
      </c>
      <c r="I233" s="18">
        <v>55906.73</v>
      </c>
      <c r="J233" s="18">
        <v>14781.23</v>
      </c>
      <c r="K233" s="18">
        <v>7496.33</v>
      </c>
      <c r="L233" s="19">
        <f>SUM(F233:K233)</f>
        <v>1740342.96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409807.8</v>
      </c>
      <c r="G234" s="18">
        <v>206756.74</v>
      </c>
      <c r="H234" s="18">
        <f>108949+647539.04</f>
        <v>756488.04</v>
      </c>
      <c r="I234" s="18">
        <v>4126.67</v>
      </c>
      <c r="J234" s="18">
        <v>2788.99</v>
      </c>
      <c r="K234" s="18"/>
      <c r="L234" s="19">
        <f>SUM(F234:K234)</f>
        <v>1379968.24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351044.78</v>
      </c>
      <c r="I235" s="18"/>
      <c r="J235" s="18"/>
      <c r="K235" s="18"/>
      <c r="L235" s="19">
        <f>SUM(F235:K235)</f>
        <v>351044.78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94397.43</v>
      </c>
      <c r="G236" s="18">
        <v>11295.64</v>
      </c>
      <c r="H236" s="18">
        <f>20360+220+30912.39</f>
        <v>51492.39</v>
      </c>
      <c r="I236" s="18">
        <v>5185.6899999999996</v>
      </c>
      <c r="J236" s="18"/>
      <c r="K236" s="18">
        <v>6837.5</v>
      </c>
      <c r="L236" s="19">
        <f>SUM(F236:K236)</f>
        <v>169208.65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211174.46</v>
      </c>
      <c r="G238" s="18">
        <v>112817.11</v>
      </c>
      <c r="H238" s="18">
        <f>83869.62+2292.25+292.88</f>
        <v>86454.75</v>
      </c>
      <c r="I238" s="18">
        <v>8672.49</v>
      </c>
      <c r="J238" s="18"/>
      <c r="K238" s="18">
        <v>2099.3200000000002</v>
      </c>
      <c r="L238" s="19">
        <f t="shared" ref="L238:L244" si="4">SUM(F238:K238)</f>
        <v>421218.13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54411.74</v>
      </c>
      <c r="G239" s="18">
        <v>26175.54</v>
      </c>
      <c r="H239" s="18">
        <f>23866+251.08</f>
        <v>24117.08</v>
      </c>
      <c r="I239" s="18">
        <v>599.29</v>
      </c>
      <c r="J239" s="18"/>
      <c r="K239" s="18"/>
      <c r="L239" s="19">
        <f t="shared" si="4"/>
        <v>105303.65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3159.86</v>
      </c>
      <c r="G240" s="18">
        <v>242.11</v>
      </c>
      <c r="H240" s="18">
        <f>225967.47+11344.02</f>
        <v>237311.49</v>
      </c>
      <c r="I240" s="18">
        <v>547.24</v>
      </c>
      <c r="J240" s="18"/>
      <c r="K240" s="18">
        <v>1170.07</v>
      </c>
      <c r="L240" s="19">
        <f t="shared" si="4"/>
        <v>242430.77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210121.69</v>
      </c>
      <c r="G241" s="18">
        <v>95917.2</v>
      </c>
      <c r="H241" s="18">
        <f>350+1299+11705.98</f>
        <v>13354.98</v>
      </c>
      <c r="I241" s="18">
        <v>7809.67</v>
      </c>
      <c r="J241" s="18">
        <v>38</v>
      </c>
      <c r="K241" s="18">
        <v>3144</v>
      </c>
      <c r="L241" s="19">
        <f t="shared" si="4"/>
        <v>330385.53999999998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85534.01</v>
      </c>
      <c r="G243" s="18">
        <v>31685.64</v>
      </c>
      <c r="H243" s="18">
        <f>168986.66+81058.2+3796.99</f>
        <v>253841.84999999998</v>
      </c>
      <c r="I243" s="18">
        <v>100246.73</v>
      </c>
      <c r="J243" s="18">
        <v>17000</v>
      </c>
      <c r="K243" s="18">
        <v>300</v>
      </c>
      <c r="L243" s="19">
        <f t="shared" si="4"/>
        <v>488608.23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8415.56</v>
      </c>
      <c r="G244" s="18">
        <v>4538.59</v>
      </c>
      <c r="H244" s="18">
        <f>1585.7+163144.07</f>
        <v>164729.77000000002</v>
      </c>
      <c r="I244" s="18">
        <v>918</v>
      </c>
      <c r="J244" s="18"/>
      <c r="K244" s="18">
        <v>37.200000000000003</v>
      </c>
      <c r="L244" s="19">
        <f t="shared" si="4"/>
        <v>178639.12000000002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12116.12+19366.44</f>
        <v>31482.559999999998</v>
      </c>
      <c r="I245" s="18"/>
      <c r="J245" s="18"/>
      <c r="K245" s="18"/>
      <c r="L245" s="19">
        <f>SUM(F245:K245)</f>
        <v>31482.559999999998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2188334.36</v>
      </c>
      <c r="G247" s="41">
        <f t="shared" si="5"/>
        <v>1037944.2799999999</v>
      </c>
      <c r="H247" s="41">
        <f t="shared" si="5"/>
        <v>1972648.8400000003</v>
      </c>
      <c r="I247" s="41">
        <f t="shared" si="5"/>
        <v>184012.51</v>
      </c>
      <c r="J247" s="41">
        <f t="shared" si="5"/>
        <v>34608.22</v>
      </c>
      <c r="K247" s="41">
        <f t="shared" si="5"/>
        <v>21084.420000000002</v>
      </c>
      <c r="L247" s="41">
        <f t="shared" si="5"/>
        <v>5438632.629999999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19263.82</v>
      </c>
      <c r="G253" s="18">
        <f>2942.05+11771.45</f>
        <v>14713.5</v>
      </c>
      <c r="H253" s="18">
        <v>165</v>
      </c>
      <c r="I253" s="18">
        <v>268.06</v>
      </c>
      <c r="J253" s="18"/>
      <c r="K253" s="18"/>
      <c r="L253" s="19">
        <f t="shared" si="6"/>
        <v>34410.379999999997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19263.82</v>
      </c>
      <c r="G256" s="41">
        <f t="shared" si="7"/>
        <v>14713.5</v>
      </c>
      <c r="H256" s="41">
        <f t="shared" si="7"/>
        <v>165</v>
      </c>
      <c r="I256" s="41">
        <f t="shared" si="7"/>
        <v>268.06</v>
      </c>
      <c r="J256" s="41">
        <f t="shared" si="7"/>
        <v>0</v>
      </c>
      <c r="K256" s="41">
        <f t="shared" si="7"/>
        <v>0</v>
      </c>
      <c r="L256" s="41">
        <f>SUM(F256:K256)</f>
        <v>34410.379999999997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5902809.6899999995</v>
      </c>
      <c r="G257" s="41">
        <f t="shared" si="8"/>
        <v>2869250.06</v>
      </c>
      <c r="H257" s="41">
        <f t="shared" si="8"/>
        <v>3759274.2600000007</v>
      </c>
      <c r="I257" s="41">
        <f t="shared" si="8"/>
        <v>440384.92000000004</v>
      </c>
      <c r="J257" s="41">
        <f t="shared" si="8"/>
        <v>46597.5</v>
      </c>
      <c r="K257" s="41">
        <f t="shared" si="8"/>
        <v>43420.7</v>
      </c>
      <c r="L257" s="41">
        <f t="shared" si="8"/>
        <v>13061737.129999999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376800</v>
      </c>
      <c r="L260" s="19">
        <f>SUM(F260:K260)</f>
        <v>376800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18373.810000000001</v>
      </c>
      <c r="L261" s="19">
        <f>SUM(F261:K261)</f>
        <v>18373.810000000001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25169.61</v>
      </c>
      <c r="L263" s="19">
        <f>SUM(F263:K263)</f>
        <v>25169.61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11518</v>
      </c>
      <c r="L268" s="19">
        <f t="shared" si="9"/>
        <v>11518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531861.41999999993</v>
      </c>
      <c r="L270" s="41">
        <f t="shared" si="9"/>
        <v>531861.41999999993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5902809.6899999995</v>
      </c>
      <c r="G271" s="42">
        <f t="shared" si="11"/>
        <v>2869250.06</v>
      </c>
      <c r="H271" s="42">
        <f t="shared" si="11"/>
        <v>3759274.2600000007</v>
      </c>
      <c r="I271" s="42">
        <f t="shared" si="11"/>
        <v>440384.92000000004</v>
      </c>
      <c r="J271" s="42">
        <f t="shared" si="11"/>
        <v>46597.5</v>
      </c>
      <c r="K271" s="42">
        <f t="shared" si="11"/>
        <v>575282.11999999988</v>
      </c>
      <c r="L271" s="42">
        <f t="shared" si="11"/>
        <v>13593598.549999999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113937.85</v>
      </c>
      <c r="G276" s="18">
        <v>49863.58</v>
      </c>
      <c r="H276" s="18"/>
      <c r="I276" s="18"/>
      <c r="J276" s="18">
        <v>2718.6</v>
      </c>
      <c r="K276" s="18">
        <v>14.99</v>
      </c>
      <c r="L276" s="19">
        <f>SUM(F276:K276)</f>
        <v>166535.01999999999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318.37</v>
      </c>
      <c r="J279" s="18"/>
      <c r="K279" s="18"/>
      <c r="L279" s="19">
        <f>SUM(F279:K279)</f>
        <v>318.37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8700+75</f>
        <v>8775</v>
      </c>
      <c r="I282" s="18"/>
      <c r="J282" s="18"/>
      <c r="K282" s="18"/>
      <c r="L282" s="19">
        <f t="shared" si="12"/>
        <v>8775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4700</v>
      </c>
      <c r="L283" s="19">
        <f t="shared" si="12"/>
        <v>4700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113937.85</v>
      </c>
      <c r="G290" s="42">
        <f t="shared" si="13"/>
        <v>49863.58</v>
      </c>
      <c r="H290" s="42">
        <f t="shared" si="13"/>
        <v>8775</v>
      </c>
      <c r="I290" s="42">
        <f t="shared" si="13"/>
        <v>318.37</v>
      </c>
      <c r="J290" s="42">
        <f t="shared" si="13"/>
        <v>2718.6</v>
      </c>
      <c r="K290" s="42">
        <f t="shared" si="13"/>
        <v>4714.99</v>
      </c>
      <c r="L290" s="41">
        <f t="shared" si="13"/>
        <v>180328.38999999998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28268.05</v>
      </c>
      <c r="G295" s="18">
        <v>19587.22</v>
      </c>
      <c r="H295" s="18"/>
      <c r="I295" s="18"/>
      <c r="J295" s="18">
        <v>3481.14</v>
      </c>
      <c r="K295" s="18"/>
      <c r="L295" s="19">
        <f>SUM(F295:K295)</f>
        <v>51336.41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22431.279999999999</v>
      </c>
      <c r="G298" s="18">
        <v>5197.5600000000004</v>
      </c>
      <c r="H298" s="18">
        <v>725</v>
      </c>
      <c r="I298" s="18"/>
      <c r="J298" s="18"/>
      <c r="K298" s="18"/>
      <c r="L298" s="19">
        <f>SUM(F298:K298)</f>
        <v>28353.84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1101</v>
      </c>
      <c r="L302" s="19">
        <f t="shared" si="14"/>
        <v>1101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41239.730000000003</v>
      </c>
      <c r="G303" s="18">
        <v>12176.51</v>
      </c>
      <c r="H303" s="18">
        <v>1500</v>
      </c>
      <c r="I303" s="18"/>
      <c r="J303" s="18"/>
      <c r="K303" s="18"/>
      <c r="L303" s="19">
        <f t="shared" si="14"/>
        <v>54916.240000000005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91939.06</v>
      </c>
      <c r="G309" s="42">
        <f t="shared" si="15"/>
        <v>36961.29</v>
      </c>
      <c r="H309" s="42">
        <f t="shared" si="15"/>
        <v>2225</v>
      </c>
      <c r="I309" s="42">
        <f t="shared" si="15"/>
        <v>0</v>
      </c>
      <c r="J309" s="42">
        <f t="shared" si="15"/>
        <v>3481.14</v>
      </c>
      <c r="K309" s="42">
        <f t="shared" si="15"/>
        <v>1101</v>
      </c>
      <c r="L309" s="41">
        <f t="shared" si="15"/>
        <v>135707.49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1000</v>
      </c>
      <c r="I314" s="18">
        <v>888.68</v>
      </c>
      <c r="J314" s="18"/>
      <c r="K314" s="18"/>
      <c r="L314" s="19">
        <f>SUM(F314:K314)</f>
        <v>1888.6799999999998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4661.4399999999996</v>
      </c>
      <c r="G317" s="18">
        <v>376.49</v>
      </c>
      <c r="H317" s="18"/>
      <c r="I317" s="18">
        <v>281.51</v>
      </c>
      <c r="J317" s="18"/>
      <c r="K317" s="18"/>
      <c r="L317" s="19">
        <f>SUM(F317:K317)</f>
        <v>5319.44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3690+501.1</f>
        <v>4191.1000000000004</v>
      </c>
      <c r="I319" s="18">
        <v>1467.8</v>
      </c>
      <c r="J319" s="18"/>
      <c r="K319" s="18">
        <v>925</v>
      </c>
      <c r="L319" s="19">
        <f t="shared" ref="L319:L325" si="16">SUM(F319:K319)</f>
        <v>6583.9000000000005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2542.5</v>
      </c>
      <c r="I324" s="18"/>
      <c r="J324" s="18"/>
      <c r="K324" s="18"/>
      <c r="L324" s="19">
        <f t="shared" si="16"/>
        <v>2542.5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1060.4000000000001</v>
      </c>
      <c r="I325" s="18"/>
      <c r="J325" s="18"/>
      <c r="K325" s="18"/>
      <c r="L325" s="19">
        <f t="shared" si="16"/>
        <v>1060.4000000000001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4661.4399999999996</v>
      </c>
      <c r="G328" s="42">
        <f t="shared" si="17"/>
        <v>376.49</v>
      </c>
      <c r="H328" s="42">
        <f t="shared" si="17"/>
        <v>8794</v>
      </c>
      <c r="I328" s="42">
        <f t="shared" si="17"/>
        <v>2637.99</v>
      </c>
      <c r="J328" s="42">
        <f t="shared" si="17"/>
        <v>0</v>
      </c>
      <c r="K328" s="42">
        <f t="shared" si="17"/>
        <v>925</v>
      </c>
      <c r="L328" s="41">
        <f t="shared" si="17"/>
        <v>17394.920000000002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210538.35</v>
      </c>
      <c r="G338" s="41">
        <f t="shared" si="20"/>
        <v>87201.36</v>
      </c>
      <c r="H338" s="41">
        <f t="shared" si="20"/>
        <v>19794</v>
      </c>
      <c r="I338" s="41">
        <f t="shared" si="20"/>
        <v>2956.3599999999997</v>
      </c>
      <c r="J338" s="41">
        <f t="shared" si="20"/>
        <v>6199.74</v>
      </c>
      <c r="K338" s="41">
        <f t="shared" si="20"/>
        <v>6740.99</v>
      </c>
      <c r="L338" s="41">
        <f t="shared" si="20"/>
        <v>333430.8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210538.35</v>
      </c>
      <c r="G352" s="41">
        <f>G338</f>
        <v>87201.36</v>
      </c>
      <c r="H352" s="41">
        <f>H338</f>
        <v>19794</v>
      </c>
      <c r="I352" s="41">
        <f>I338</f>
        <v>2956.3599999999997</v>
      </c>
      <c r="J352" s="41">
        <f>J338</f>
        <v>6199.74</v>
      </c>
      <c r="K352" s="47">
        <f>K338+K351</f>
        <v>6740.99</v>
      </c>
      <c r="L352" s="41">
        <f>L338+L351</f>
        <v>333430.8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95855.09+799.15</f>
        <v>96654.239999999991</v>
      </c>
      <c r="I358" s="18"/>
      <c r="J358" s="18">
        <v>719</v>
      </c>
      <c r="K358" s="18"/>
      <c r="L358" s="13">
        <f>SUM(F358:K358)</f>
        <v>97373.239999999991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19623.25</v>
      </c>
      <c r="G359" s="18">
        <v>12709.81</v>
      </c>
      <c r="H359" s="18">
        <f>97476.13+1312.35</f>
        <v>98788.48000000001</v>
      </c>
      <c r="I359" s="18"/>
      <c r="J359" s="18"/>
      <c r="K359" s="18"/>
      <c r="L359" s="19">
        <f>SUM(F359:K359)</f>
        <v>131121.54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69752.63+180</f>
        <v>69932.63</v>
      </c>
      <c r="I360" s="18">
        <v>146.83000000000001</v>
      </c>
      <c r="J360" s="18"/>
      <c r="K360" s="18"/>
      <c r="L360" s="19">
        <f>SUM(F360:K360)</f>
        <v>70079.460000000006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19623.25</v>
      </c>
      <c r="G362" s="47">
        <f t="shared" si="22"/>
        <v>12709.81</v>
      </c>
      <c r="H362" s="47">
        <f t="shared" si="22"/>
        <v>265375.34999999998</v>
      </c>
      <c r="I362" s="47">
        <f t="shared" si="22"/>
        <v>146.83000000000001</v>
      </c>
      <c r="J362" s="47">
        <f t="shared" si="22"/>
        <v>719</v>
      </c>
      <c r="K362" s="47">
        <f t="shared" si="22"/>
        <v>0</v>
      </c>
      <c r="L362" s="47">
        <f t="shared" si="22"/>
        <v>298574.24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146.83000000000001</v>
      </c>
      <c r="I368" s="56">
        <f>SUM(F368:H368)</f>
        <v>146.83000000000001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146.83000000000001</v>
      </c>
      <c r="I369" s="47">
        <f>SUM(I367:I368)</f>
        <v>146.83000000000001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>
        <v>2685.75</v>
      </c>
      <c r="I380" s="18"/>
      <c r="J380" s="18"/>
      <c r="K380" s="18"/>
      <c r="L380" s="13">
        <f t="shared" si="23"/>
        <v>2685.75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2685.75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2685.75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/>
      <c r="I396" s="18"/>
      <c r="J396" s="24" t="s">
        <v>289</v>
      </c>
      <c r="K396" s="24" t="s">
        <v>289</v>
      </c>
      <c r="L396" s="56">
        <f t="shared" si="26"/>
        <v>50000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/>
      <c r="I397" s="18"/>
      <c r="J397" s="24" t="s">
        <v>289</v>
      </c>
      <c r="K397" s="24" t="s">
        <v>289</v>
      </c>
      <c r="L397" s="56">
        <f t="shared" si="26"/>
        <v>50000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200000</v>
      </c>
      <c r="L423" s="56">
        <f t="shared" si="29"/>
        <v>200000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200000</v>
      </c>
      <c r="L427" s="47">
        <f t="shared" si="30"/>
        <v>200000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200000</v>
      </c>
      <c r="L434" s="47">
        <f t="shared" si="32"/>
        <v>200000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416330.18</v>
      </c>
      <c r="H440" s="18"/>
      <c r="I440" s="56">
        <f t="shared" si="33"/>
        <v>416330.18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100000</v>
      </c>
      <c r="H441" s="18"/>
      <c r="I441" s="56">
        <f t="shared" si="33"/>
        <v>100000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516330.18</v>
      </c>
      <c r="H446" s="13">
        <f>SUM(H439:H445)</f>
        <v>0</v>
      </c>
      <c r="I446" s="13">
        <f>SUM(I439:I445)</f>
        <v>516330.18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f>21441+200000</f>
        <v>221441</v>
      </c>
      <c r="H448" s="18"/>
      <c r="I448" s="56">
        <f>SUM(F448:H448)</f>
        <v>221441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221441</v>
      </c>
      <c r="H452" s="72">
        <f>SUM(H448:H451)</f>
        <v>0</v>
      </c>
      <c r="I452" s="72">
        <f>SUM(I448:I451)</f>
        <v>221441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54672.54-54708.41+63644.58+272875.78+31657.4+26747.29+(100000-200000)</f>
        <v>294889.18000000005</v>
      </c>
      <c r="H459" s="18"/>
      <c r="I459" s="56">
        <f t="shared" si="34"/>
        <v>294889.18000000005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294889.18000000005</v>
      </c>
      <c r="H460" s="83">
        <f>SUM(H454:H459)</f>
        <v>0</v>
      </c>
      <c r="I460" s="83">
        <f>SUM(I454:I459)</f>
        <v>294889.18000000005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516330.18000000005</v>
      </c>
      <c r="H461" s="42">
        <f>H452+H460</f>
        <v>0</v>
      </c>
      <c r="I461" s="42">
        <f>I452+I460</f>
        <v>516330.18000000005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0.02+8919.5+100000+79748.33+168451</f>
        <v>357118.85</v>
      </c>
      <c r="G465" s="18">
        <v>0</v>
      </c>
      <c r="H465" s="18">
        <v>1779.56</v>
      </c>
      <c r="I465" s="18">
        <v>2863.07</v>
      </c>
      <c r="J465" s="18">
        <f>449597.59-54708.41</f>
        <v>394889.18000000005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13748861.6</v>
      </c>
      <c r="G468" s="18">
        <v>298574.24</v>
      </c>
      <c r="H468" s="18">
        <f>329429.65+4000</f>
        <v>333429.65000000002</v>
      </c>
      <c r="I468" s="18">
        <v>0</v>
      </c>
      <c r="J468" s="18">
        <v>100000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13748861.6</v>
      </c>
      <c r="G470" s="53">
        <f>SUM(G468:G469)</f>
        <v>298574.24</v>
      </c>
      <c r="H470" s="53">
        <f>SUM(H468:H469)</f>
        <v>333429.65000000002</v>
      </c>
      <c r="I470" s="53">
        <f>SUM(I468:I469)</f>
        <v>0</v>
      </c>
      <c r="J470" s="53">
        <f>SUM(J468:J469)</f>
        <v>100000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13593598.550000001</v>
      </c>
      <c r="G472" s="18">
        <v>298574.24</v>
      </c>
      <c r="H472" s="18">
        <f>4001.15+329429.65</f>
        <v>333430.80000000005</v>
      </c>
      <c r="I472" s="18">
        <v>2685.75</v>
      </c>
      <c r="J472" s="18">
        <v>200000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13593598.550000001</v>
      </c>
      <c r="G474" s="53">
        <f>SUM(G472:G473)</f>
        <v>298574.24</v>
      </c>
      <c r="H474" s="53">
        <f>SUM(H472:H473)</f>
        <v>333430.80000000005</v>
      </c>
      <c r="I474" s="53">
        <f>SUM(I472:I473)</f>
        <v>2685.75</v>
      </c>
      <c r="J474" s="53">
        <f>SUM(J472:J473)</f>
        <v>200000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512381.89999999851</v>
      </c>
      <c r="G476" s="53">
        <f>(G465+G470)- G474</f>
        <v>0</v>
      </c>
      <c r="H476" s="53">
        <f>(H465+H470)- H474</f>
        <v>1778.4099999999744</v>
      </c>
      <c r="I476" s="53">
        <f>(I465+I470)- I474</f>
        <v>177.32000000000016</v>
      </c>
      <c r="J476" s="53">
        <f>(J465+J470)- J474</f>
        <v>294889.18000000005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>
        <v>15</v>
      </c>
      <c r="H490" s="154">
        <v>10</v>
      </c>
      <c r="I490" s="154">
        <v>14</v>
      </c>
      <c r="J490" s="154">
        <v>5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5" t="s">
        <v>914</v>
      </c>
      <c r="I491" s="155" t="s">
        <v>915</v>
      </c>
      <c r="J491" s="155" t="s">
        <v>916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917</v>
      </c>
      <c r="G492" s="155" t="s">
        <v>918</v>
      </c>
      <c r="H492" s="155" t="s">
        <v>919</v>
      </c>
      <c r="I492" s="155" t="s">
        <v>920</v>
      </c>
      <c r="J492" s="155" t="s">
        <v>921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500000</v>
      </c>
      <c r="G493" s="18">
        <v>1694000</v>
      </c>
      <c r="H493" s="18">
        <v>605000</v>
      </c>
      <c r="I493" s="18">
        <v>1498000</v>
      </c>
      <c r="J493" s="18">
        <v>73535.149999999994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</v>
      </c>
      <c r="G494" s="18">
        <v>0</v>
      </c>
      <c r="H494" s="18">
        <v>4.5</v>
      </c>
      <c r="I494" s="18">
        <v>0</v>
      </c>
      <c r="J494" s="18">
        <v>2.25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133333.35</v>
      </c>
      <c r="G495" s="18">
        <v>720533.34</v>
      </c>
      <c r="H495" s="18">
        <v>242000</v>
      </c>
      <c r="I495" s="18">
        <v>856000</v>
      </c>
      <c r="J495" s="18">
        <v>29264.06</v>
      </c>
      <c r="K495" s="53">
        <f>SUM(F495:J495)</f>
        <v>1981130.75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33333.33</v>
      </c>
      <c r="G497" s="18">
        <v>112933.33</v>
      </c>
      <c r="H497" s="18">
        <v>60500</v>
      </c>
      <c r="I497" s="18">
        <v>107000</v>
      </c>
      <c r="J497" s="18">
        <v>14757.03</v>
      </c>
      <c r="K497" s="53">
        <f t="shared" si="35"/>
        <v>328523.69000000006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100000.02</v>
      </c>
      <c r="G498" s="204">
        <f t="shared" ref="G498:J498" si="36">G495-G497</f>
        <v>607600.01</v>
      </c>
      <c r="H498" s="204">
        <f t="shared" si="36"/>
        <v>181500</v>
      </c>
      <c r="I498" s="204">
        <f t="shared" si="36"/>
        <v>749000</v>
      </c>
      <c r="J498" s="204">
        <f t="shared" si="36"/>
        <v>14507.03</v>
      </c>
      <c r="K498" s="205">
        <f t="shared" si="35"/>
        <v>1652607.06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100000.02</v>
      </c>
      <c r="G500" s="42">
        <f>SUM(G498:G499)</f>
        <v>607600.01</v>
      </c>
      <c r="H500" s="42">
        <f>SUM(H498:H499)</f>
        <v>181500</v>
      </c>
      <c r="I500" s="42">
        <f>SUM(I498:I499)</f>
        <v>749000</v>
      </c>
      <c r="J500" s="42">
        <f>SUM(J498:J499)</f>
        <v>14507.03</v>
      </c>
      <c r="K500" s="42">
        <f t="shared" si="35"/>
        <v>1652607.06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242070.66</v>
      </c>
      <c r="G521" s="18">
        <v>134465.64000000001</v>
      </c>
      <c r="H521" s="18">
        <f>50362.23+705.91</f>
        <v>51068.140000000007</v>
      </c>
      <c r="I521" s="18">
        <v>952.19</v>
      </c>
      <c r="J521" s="18">
        <v>2832.47</v>
      </c>
      <c r="K521" s="18"/>
      <c r="L521" s="88">
        <f>SUM(F521:K521)</f>
        <v>431389.10000000003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417379.4</v>
      </c>
      <c r="G522" s="18">
        <v>202102.58</v>
      </c>
      <c r="H522" s="18">
        <f>281833.63</f>
        <v>281833.63</v>
      </c>
      <c r="I522" s="18">
        <v>3620.68</v>
      </c>
      <c r="J522" s="18"/>
      <c r="K522" s="18"/>
      <c r="L522" s="88">
        <f>SUM(F522:K522)</f>
        <v>904936.29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398795.52000000002</v>
      </c>
      <c r="G523" s="18">
        <v>202783.15</v>
      </c>
      <c r="H523" s="18">
        <f>108949+647539.04</f>
        <v>756488.04</v>
      </c>
      <c r="I523" s="18">
        <f>4126.67</f>
        <v>4126.67</v>
      </c>
      <c r="J523" s="18">
        <v>2788.99</v>
      </c>
      <c r="K523" s="18"/>
      <c r="L523" s="88">
        <f>SUM(F523:K523)</f>
        <v>1364982.3699999999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1058245.58</v>
      </c>
      <c r="G524" s="108">
        <f t="shared" ref="G524:L524" si="37">SUM(G521:G523)</f>
        <v>539351.37</v>
      </c>
      <c r="H524" s="108">
        <f t="shared" si="37"/>
        <v>1089389.81</v>
      </c>
      <c r="I524" s="108">
        <f t="shared" si="37"/>
        <v>8699.5400000000009</v>
      </c>
      <c r="J524" s="108">
        <f t="shared" si="37"/>
        <v>5621.4599999999991</v>
      </c>
      <c r="K524" s="108">
        <f t="shared" si="37"/>
        <v>0</v>
      </c>
      <c r="L524" s="89">
        <f t="shared" si="37"/>
        <v>2701307.76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149233.20000000001</v>
      </c>
      <c r="I526" s="18"/>
      <c r="J526" s="18"/>
      <c r="K526" s="18"/>
      <c r="L526" s="88">
        <f>SUM(F526:K526)</f>
        <v>149233.20000000001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100028.54</v>
      </c>
      <c r="I527" s="18">
        <v>310.76</v>
      </c>
      <c r="J527" s="18"/>
      <c r="K527" s="18"/>
      <c r="L527" s="88">
        <f>SUM(F527:K527)</f>
        <v>100339.29999999999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83744.62</v>
      </c>
      <c r="I528" s="18"/>
      <c r="J528" s="18"/>
      <c r="K528" s="18"/>
      <c r="L528" s="88">
        <f>SUM(F528:K528)</f>
        <v>83744.62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333006.36</v>
      </c>
      <c r="I529" s="89">
        <f t="shared" si="38"/>
        <v>310.76</v>
      </c>
      <c r="J529" s="89">
        <f t="shared" si="38"/>
        <v>0</v>
      </c>
      <c r="K529" s="89">
        <f t="shared" si="38"/>
        <v>0</v>
      </c>
      <c r="L529" s="89">
        <f t="shared" si="38"/>
        <v>333317.12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45267.839999999997</v>
      </c>
      <c r="I531" s="18"/>
      <c r="J531" s="18"/>
      <c r="K531" s="18"/>
      <c r="L531" s="88">
        <f>SUM(F531:K531)</f>
        <v>45267.839999999997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54029.35</v>
      </c>
      <c r="I532" s="18"/>
      <c r="J532" s="18"/>
      <c r="K532" s="18"/>
      <c r="L532" s="88">
        <f>SUM(F532:K532)</f>
        <v>54029.35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46728.09</v>
      </c>
      <c r="I533" s="18"/>
      <c r="J533" s="18"/>
      <c r="K533" s="18"/>
      <c r="L533" s="88">
        <f>SUM(F533:K533)</f>
        <v>46728.09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146025.28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146025.28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8657.02</v>
      </c>
      <c r="G541" s="18">
        <v>4127.2</v>
      </c>
      <c r="H541" s="18">
        <f>2581.11+2090.18</f>
        <v>4671.29</v>
      </c>
      <c r="I541" s="18">
        <v>644.69000000000005</v>
      </c>
      <c r="J541" s="18"/>
      <c r="K541" s="18">
        <v>38.4</v>
      </c>
      <c r="L541" s="88">
        <f>SUM(F541:K541)</f>
        <v>18138.600000000002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9730.5300000000007</v>
      </c>
      <c r="G542" s="18">
        <v>4846.59</v>
      </c>
      <c r="H542" s="18">
        <f>1848.22+7173.38</f>
        <v>9021.6</v>
      </c>
      <c r="I542" s="18">
        <v>583.62</v>
      </c>
      <c r="J542" s="18"/>
      <c r="K542" s="18">
        <v>44.4</v>
      </c>
      <c r="L542" s="88">
        <f>SUM(F542:K542)</f>
        <v>24226.74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8415.56</v>
      </c>
      <c r="G543" s="18">
        <v>4538.59</v>
      </c>
      <c r="H543" s="18">
        <f>1585.7+12434.69</f>
        <v>14020.390000000001</v>
      </c>
      <c r="I543" s="18">
        <v>918</v>
      </c>
      <c r="J543" s="18"/>
      <c r="K543" s="18">
        <v>37.200000000000003</v>
      </c>
      <c r="L543" s="88">
        <f>SUM(F543:K543)</f>
        <v>27929.74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26803.11</v>
      </c>
      <c r="G544" s="193">
        <f t="shared" ref="G544:L544" si="41">SUM(G541:G543)</f>
        <v>13512.380000000001</v>
      </c>
      <c r="H544" s="193">
        <f t="shared" si="41"/>
        <v>27713.279999999999</v>
      </c>
      <c r="I544" s="193">
        <f t="shared" si="41"/>
        <v>2146.31</v>
      </c>
      <c r="J544" s="193">
        <f t="shared" si="41"/>
        <v>0</v>
      </c>
      <c r="K544" s="193">
        <f t="shared" si="41"/>
        <v>120</v>
      </c>
      <c r="L544" s="193">
        <f t="shared" si="41"/>
        <v>70295.08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1085048.6900000002</v>
      </c>
      <c r="G545" s="89">
        <f t="shared" ref="G545:L545" si="42">G524+G529+G534+G539+G544</f>
        <v>552863.75</v>
      </c>
      <c r="H545" s="89">
        <f t="shared" si="42"/>
        <v>1596134.73</v>
      </c>
      <c r="I545" s="89">
        <f t="shared" si="42"/>
        <v>11156.61</v>
      </c>
      <c r="J545" s="89">
        <f t="shared" si="42"/>
        <v>5621.4599999999991</v>
      </c>
      <c r="K545" s="89">
        <f t="shared" si="42"/>
        <v>120</v>
      </c>
      <c r="L545" s="89">
        <f t="shared" si="42"/>
        <v>3250945.2399999998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431389.10000000003</v>
      </c>
      <c r="G549" s="87">
        <f>L526</f>
        <v>149233.20000000001</v>
      </c>
      <c r="H549" s="87">
        <f>L531</f>
        <v>45267.839999999997</v>
      </c>
      <c r="I549" s="87">
        <f>L536</f>
        <v>0</v>
      </c>
      <c r="J549" s="87">
        <f>L541</f>
        <v>18138.600000000002</v>
      </c>
      <c r="K549" s="87">
        <f>SUM(F549:J549)</f>
        <v>644028.74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904936.29</v>
      </c>
      <c r="G550" s="87">
        <f>L527</f>
        <v>100339.29999999999</v>
      </c>
      <c r="H550" s="87">
        <f>L532</f>
        <v>54029.35</v>
      </c>
      <c r="I550" s="87">
        <f>L537</f>
        <v>0</v>
      </c>
      <c r="J550" s="87">
        <f>L542</f>
        <v>24226.74</v>
      </c>
      <c r="K550" s="87">
        <f>SUM(F550:J550)</f>
        <v>1083531.6800000002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1364982.3699999999</v>
      </c>
      <c r="G551" s="87">
        <f>L528</f>
        <v>83744.62</v>
      </c>
      <c r="H551" s="87">
        <f>L533</f>
        <v>46728.09</v>
      </c>
      <c r="I551" s="87">
        <f>L538</f>
        <v>0</v>
      </c>
      <c r="J551" s="87">
        <f>L543</f>
        <v>27929.74</v>
      </c>
      <c r="K551" s="87">
        <f>SUM(F551:J551)</f>
        <v>1523384.8199999998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2701307.76</v>
      </c>
      <c r="G552" s="89">
        <f t="shared" si="43"/>
        <v>333317.12</v>
      </c>
      <c r="H552" s="89">
        <f t="shared" si="43"/>
        <v>146025.28</v>
      </c>
      <c r="I552" s="89">
        <f t="shared" si="43"/>
        <v>0</v>
      </c>
      <c r="J552" s="89">
        <f t="shared" si="43"/>
        <v>70295.08</v>
      </c>
      <c r="K552" s="89">
        <f t="shared" si="43"/>
        <v>3250945.24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22024.36</v>
      </c>
      <c r="G562" s="18">
        <v>7947.02</v>
      </c>
      <c r="H562" s="18"/>
      <c r="I562" s="18"/>
      <c r="J562" s="18"/>
      <c r="K562" s="18"/>
      <c r="L562" s="88">
        <f>SUM(F562:K562)</f>
        <v>29971.38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22024.36</v>
      </c>
      <c r="G563" s="18">
        <v>7947.02</v>
      </c>
      <c r="H563" s="18"/>
      <c r="I563" s="18"/>
      <c r="J563" s="18"/>
      <c r="K563" s="18"/>
      <c r="L563" s="88">
        <f>SUM(F563:K563)</f>
        <v>29971.38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11012.28</v>
      </c>
      <c r="G564" s="18">
        <v>3973.59</v>
      </c>
      <c r="H564" s="18"/>
      <c r="I564" s="18"/>
      <c r="J564" s="18"/>
      <c r="K564" s="18"/>
      <c r="L564" s="88">
        <f>SUM(F564:K564)</f>
        <v>14985.87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55061</v>
      </c>
      <c r="G565" s="89">
        <f t="shared" si="45"/>
        <v>19867.63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74928.63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55061</v>
      </c>
      <c r="G571" s="89">
        <f t="shared" ref="G571:L571" si="47">G560+G565+G570</f>
        <v>19867.63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74928.63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10131.4</v>
      </c>
      <c r="I580" s="87">
        <f t="shared" si="48"/>
        <v>10131.4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281462.55</v>
      </c>
      <c r="H582" s="18">
        <v>637251.63</v>
      </c>
      <c r="I582" s="87">
        <f t="shared" si="48"/>
        <v>918714.17999999993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331044.78000000003</v>
      </c>
      <c r="I585" s="87">
        <f t="shared" si="48"/>
        <v>331044.78000000003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106597.01</v>
      </c>
      <c r="I591" s="18">
        <v>123252.8</v>
      </c>
      <c r="J591" s="18">
        <v>103265.88</v>
      </c>
      <c r="K591" s="104">
        <f t="shared" ref="K591:K597" si="49">SUM(H591:J591)</f>
        <v>333115.69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18138.599999999999</v>
      </c>
      <c r="I592" s="18">
        <v>24226.74</v>
      </c>
      <c r="J592" s="18">
        <v>27929.74</v>
      </c>
      <c r="K592" s="104">
        <f t="shared" si="49"/>
        <v>70295.08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19527.759999999998</v>
      </c>
      <c r="K593" s="104">
        <f t="shared" si="49"/>
        <v>19527.759999999998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6327.34</v>
      </c>
      <c r="J594" s="18">
        <v>22103.84</v>
      </c>
      <c r="K594" s="104">
        <f t="shared" si="49"/>
        <v>28431.18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1645.07</v>
      </c>
      <c r="I595" s="18">
        <v>7795.84</v>
      </c>
      <c r="J595" s="18">
        <v>380.48</v>
      </c>
      <c r="K595" s="104">
        <f t="shared" si="49"/>
        <v>9821.39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6901.89</v>
      </c>
      <c r="I597" s="18">
        <v>11057.84</v>
      </c>
      <c r="J597" s="18">
        <v>5431.42</v>
      </c>
      <c r="K597" s="104">
        <f t="shared" si="49"/>
        <v>23391.15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133282.57</v>
      </c>
      <c r="I598" s="108">
        <f>SUM(I591:I597)</f>
        <v>172660.56</v>
      </c>
      <c r="J598" s="108">
        <f>SUM(J591:J597)</f>
        <v>178639.12000000002</v>
      </c>
      <c r="K598" s="108">
        <f>SUM(K591:K597)</f>
        <v>484582.25000000006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7727.13</v>
      </c>
      <c r="I604" s="18">
        <v>10461.89</v>
      </c>
      <c r="J604" s="18">
        <v>34608.22</v>
      </c>
      <c r="K604" s="104">
        <f>SUM(H604:J604)</f>
        <v>52797.240000000005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7727.13</v>
      </c>
      <c r="I605" s="108">
        <f>SUM(I602:I604)</f>
        <v>10461.89</v>
      </c>
      <c r="J605" s="108">
        <f>SUM(J602:J604)</f>
        <v>34608.22</v>
      </c>
      <c r="K605" s="108">
        <f>SUM(K602:K604)</f>
        <v>52797.240000000005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22743.119999999999</v>
      </c>
      <c r="G611" s="18">
        <v>3318.58</v>
      </c>
      <c r="H611" s="18"/>
      <c r="I611" s="18">
        <v>154.57</v>
      </c>
      <c r="J611" s="18"/>
      <c r="K611" s="18"/>
      <c r="L611" s="88">
        <f>SUM(F611:K611)</f>
        <v>26216.269999999997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16964.13</v>
      </c>
      <c r="G612" s="18">
        <v>3667.1</v>
      </c>
      <c r="H612" s="18">
        <v>2427.09</v>
      </c>
      <c r="I612" s="18"/>
      <c r="J612" s="18"/>
      <c r="K612" s="18"/>
      <c r="L612" s="88">
        <f>SUM(F612:K612)</f>
        <v>23058.32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12781.79</v>
      </c>
      <c r="G613" s="18">
        <v>2546.44</v>
      </c>
      <c r="H613" s="18">
        <v>28702.18</v>
      </c>
      <c r="I613" s="18"/>
      <c r="J613" s="18"/>
      <c r="K613" s="18"/>
      <c r="L613" s="88">
        <f>SUM(F613:K613)</f>
        <v>44030.41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52489.04</v>
      </c>
      <c r="G614" s="108">
        <f t="shared" si="50"/>
        <v>9532.1200000000008</v>
      </c>
      <c r="H614" s="108">
        <f t="shared" si="50"/>
        <v>31129.27</v>
      </c>
      <c r="I614" s="108">
        <f t="shared" si="50"/>
        <v>154.57</v>
      </c>
      <c r="J614" s="108">
        <f t="shared" si="50"/>
        <v>0</v>
      </c>
      <c r="K614" s="108">
        <f t="shared" si="50"/>
        <v>0</v>
      </c>
      <c r="L614" s="89">
        <f t="shared" si="50"/>
        <v>93305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907230.64999999991</v>
      </c>
      <c r="H617" s="109">
        <f>SUM(F52)</f>
        <v>907230.64999999886</v>
      </c>
      <c r="I617" s="121" t="s">
        <v>891</v>
      </c>
      <c r="J617" s="109">
        <f>G617-H617</f>
        <v>1.0477378964424133E-9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29168.14</v>
      </c>
      <c r="H618" s="109">
        <f>SUM(G52)</f>
        <v>29168.14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271434.7</v>
      </c>
      <c r="H619" s="109">
        <f>SUM(H52)</f>
        <v>271434.69999999995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177.32</v>
      </c>
      <c r="H620" s="109">
        <f>SUM(I52)</f>
        <v>177.32000000000016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516330.18</v>
      </c>
      <c r="H621" s="109">
        <f>SUM(J52)</f>
        <v>516330.18000000005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512381.89999999886</v>
      </c>
      <c r="H622" s="109">
        <f>F476</f>
        <v>512381.89999999851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1778.4099999999999</v>
      </c>
      <c r="H624" s="109">
        <f>H476</f>
        <v>1778.4099999999744</v>
      </c>
      <c r="I624" s="121" t="s">
        <v>103</v>
      </c>
      <c r="J624" s="109">
        <f t="shared" si="51"/>
        <v>2.5465851649641991E-11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177.32000000000016</v>
      </c>
      <c r="H625" s="109">
        <f>I476</f>
        <v>177.32000000000016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294889.18000000005</v>
      </c>
      <c r="H626" s="109">
        <f>J476</f>
        <v>294889.18000000005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13748861.6</v>
      </c>
      <c r="H627" s="104">
        <f>SUM(F468)</f>
        <v>13748861.6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298574.24</v>
      </c>
      <c r="H628" s="104">
        <f>SUM(G468)</f>
        <v>298574.24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333429.65000000002</v>
      </c>
      <c r="H629" s="104">
        <f>SUM(H468)</f>
        <v>333429.65000000002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100000</v>
      </c>
      <c r="H631" s="104">
        <f>SUM(J468)</f>
        <v>100000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13593598.549999999</v>
      </c>
      <c r="H632" s="104">
        <f>SUM(F472)</f>
        <v>13593598.550000001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333430.8</v>
      </c>
      <c r="H633" s="104">
        <f>SUM(H472)</f>
        <v>333430.80000000005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146.83000000000001</v>
      </c>
      <c r="H634" s="104">
        <f>I369</f>
        <v>146.83000000000001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298574.24</v>
      </c>
      <c r="H635" s="104">
        <f>SUM(G472)</f>
        <v>298574.24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2685.75</v>
      </c>
      <c r="H636" s="104">
        <f>SUM(I472)</f>
        <v>2685.75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100000</v>
      </c>
      <c r="H637" s="164">
        <f>SUM(J468)</f>
        <v>100000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200000</v>
      </c>
      <c r="H638" s="164">
        <f>SUM(J472)</f>
        <v>200000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516330.18</v>
      </c>
      <c r="H640" s="104">
        <f>SUM(G461)</f>
        <v>516330.18000000005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516330.18</v>
      </c>
      <c r="H642" s="104">
        <f>SUM(I461)</f>
        <v>516330.18000000005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100000</v>
      </c>
      <c r="H646" s="104">
        <f>L408</f>
        <v>100000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484582.25000000006</v>
      </c>
      <c r="H647" s="104">
        <f>L208+L226+L244</f>
        <v>484582.25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52797.240000000005</v>
      </c>
      <c r="H648" s="104">
        <f>(J257+J338)-(J255+J336)</f>
        <v>52797.24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133282.56999999998</v>
      </c>
      <c r="H649" s="104">
        <f>H598</f>
        <v>133282.57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172660.56</v>
      </c>
      <c r="H650" s="104">
        <f>I598</f>
        <v>172660.56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178639.12000000002</v>
      </c>
      <c r="H651" s="104">
        <f>J598</f>
        <v>178639.12000000002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25169.61</v>
      </c>
      <c r="H652" s="104">
        <f>K263+K345</f>
        <v>25169.61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3404406.0999999996</v>
      </c>
      <c r="G660" s="19">
        <f>(L229+L309+L359)</f>
        <v>4728818.68</v>
      </c>
      <c r="H660" s="19">
        <f>(L247+L328+L360)</f>
        <v>5526107.0099999988</v>
      </c>
      <c r="I660" s="19">
        <f>SUM(F660:H660)</f>
        <v>13659331.789999999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39906.477956355506</v>
      </c>
      <c r="G661" s="19">
        <f>(L359/IF(SUM(L358:L360)=0,1,SUM(L358:L360))*(SUM(G97:G110)))</f>
        <v>53737.544787596555</v>
      </c>
      <c r="H661" s="19">
        <f>(L360/IF(SUM(L358:L360)=0,1,SUM(L358:L360))*(SUM(G97:G110)))</f>
        <v>28720.667256047946</v>
      </c>
      <c r="I661" s="19">
        <f>SUM(F661:H661)</f>
        <v>122364.69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133282.56999999998</v>
      </c>
      <c r="G662" s="19">
        <f>(L226+L306)-(J226+J306)</f>
        <v>172660.56</v>
      </c>
      <c r="H662" s="19">
        <f>(L244+L325)-(J244+J325)</f>
        <v>179699.52000000002</v>
      </c>
      <c r="I662" s="19">
        <f>SUM(F662:H662)</f>
        <v>485642.65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33943.399999999994</v>
      </c>
      <c r="G663" s="199">
        <f>SUM(G575:G587)+SUM(I602:I604)+L612</f>
        <v>314982.76</v>
      </c>
      <c r="H663" s="199">
        <f>SUM(H575:H587)+SUM(J602:J604)+L613</f>
        <v>1057066.44</v>
      </c>
      <c r="I663" s="19">
        <f>SUM(F663:H663)</f>
        <v>1405992.6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3197273.6520436443</v>
      </c>
      <c r="G664" s="19">
        <f>G660-SUM(G661:G663)</f>
        <v>4187437.8152124034</v>
      </c>
      <c r="H664" s="19">
        <f>H660-SUM(H661:H663)</f>
        <v>4260620.3827439509</v>
      </c>
      <c r="I664" s="19">
        <f>I660-SUM(I661:I663)</f>
        <v>11645331.85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197.88</v>
      </c>
      <c r="G665" s="248">
        <v>245.58</v>
      </c>
      <c r="H665" s="248">
        <v>221.43</v>
      </c>
      <c r="I665" s="19">
        <f>SUM(F665:H665)</f>
        <v>664.8900000000001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16157.64</v>
      </c>
      <c r="G667" s="19">
        <f>ROUND(G664/G665,2)</f>
        <v>17051.22</v>
      </c>
      <c r="H667" s="19">
        <f>ROUND(H664/H665,2)</f>
        <v>19241.39</v>
      </c>
      <c r="I667" s="19">
        <f>ROUND(I664/I665,2)</f>
        <v>17514.669999999998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-16.559999999999999</v>
      </c>
      <c r="I670" s="19">
        <f>SUM(F670:H670)</f>
        <v>-16.559999999999999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16157.64</v>
      </c>
      <c r="G672" s="19">
        <f>ROUND((G664+G669)/(G665+G670),2)</f>
        <v>17051.22</v>
      </c>
      <c r="H672" s="19">
        <f>ROUND((H664+H669)/(H665+H670),2)</f>
        <v>20796.7</v>
      </c>
      <c r="I672" s="19">
        <f>ROUND((I664+I669)/(I665+I670),2)</f>
        <v>17962.04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Haverhill Coop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3237663.23</v>
      </c>
      <c r="C9" s="229">
        <f>'DOE25'!G197+'DOE25'!G215+'DOE25'!G233+'DOE25'!G276+'DOE25'!G295+'DOE25'!G314</f>
        <v>1575338.71</v>
      </c>
    </row>
    <row r="10" spans="1:3" x14ac:dyDescent="0.2">
      <c r="A10" t="s">
        <v>779</v>
      </c>
      <c r="B10" s="240">
        <v>3125496.31</v>
      </c>
      <c r="C10" s="240">
        <f>+(B10/$B$13)*(1578280.76-2942.05)</f>
        <v>1520762.0358665779</v>
      </c>
    </row>
    <row r="11" spans="1:3" x14ac:dyDescent="0.2">
      <c r="A11" t="s">
        <v>780</v>
      </c>
      <c r="B11" s="240">
        <f>6480.68+25188.05</f>
        <v>31668.73</v>
      </c>
      <c r="C11" s="240">
        <f>+(B11/$B$13)*(1578280.76-2942.05)</f>
        <v>15408.945502197366</v>
      </c>
    </row>
    <row r="12" spans="1:3" x14ac:dyDescent="0.2">
      <c r="A12" t="s">
        <v>781</v>
      </c>
      <c r="B12" s="240">
        <v>80498.19</v>
      </c>
      <c r="C12" s="240">
        <f>+(B12/$B$13)*(1578280.76-2942.05)</f>
        <v>39167.72863122484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3237663.23</v>
      </c>
      <c r="C13" s="231">
        <f>SUM(C10:C12)</f>
        <v>1575338.7100000002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1207148.79</v>
      </c>
      <c r="C18" s="229">
        <f>'DOE25'!G198+'DOE25'!G216+'DOE25'!G234+'DOE25'!G277+'DOE25'!G296+'DOE25'!G315</f>
        <v>593777.32999999996</v>
      </c>
    </row>
    <row r="19" spans="1:3" x14ac:dyDescent="0.2">
      <c r="A19" t="s">
        <v>779</v>
      </c>
      <c r="B19" s="240">
        <v>605484.55000000005</v>
      </c>
      <c r="C19" s="240">
        <f>+(B19/$B$22)*593777.33</f>
        <v>297828.23992662202</v>
      </c>
    </row>
    <row r="20" spans="1:3" x14ac:dyDescent="0.2">
      <c r="A20" t="s">
        <v>780</v>
      </c>
      <c r="B20" s="240">
        <v>586597.34</v>
      </c>
      <c r="C20" s="240">
        <f>+(B20/$B$22)*593777.33</f>
        <v>288537.92110440845</v>
      </c>
    </row>
    <row r="21" spans="1:3" x14ac:dyDescent="0.2">
      <c r="A21" t="s">
        <v>781</v>
      </c>
      <c r="B21" s="240">
        <v>15066.9</v>
      </c>
      <c r="C21" s="240">
        <f>+(B21/$B$22)*593777.33</f>
        <v>7411.1689689694331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1207148.79</v>
      </c>
      <c r="C22" s="231">
        <f>SUM(C19:C21)</f>
        <v>593777.32999999996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194015.31999999998</v>
      </c>
      <c r="C36" s="235">
        <f>'DOE25'!G200+'DOE25'!G218+'DOE25'!G236+'DOE25'!G279+'DOE25'!G298+'DOE25'!G317</f>
        <v>32995.43</v>
      </c>
    </row>
    <row r="37" spans="1:3" x14ac:dyDescent="0.2">
      <c r="A37" t="s">
        <v>779</v>
      </c>
      <c r="B37" s="240">
        <f>37612.62+12000.27</f>
        <v>49612.89</v>
      </c>
      <c r="C37" s="240">
        <f>+(B37/$B$40)*32995.43</f>
        <v>8437.4710156532983</v>
      </c>
    </row>
    <row r="38" spans="1:3" x14ac:dyDescent="0.2">
      <c r="A38" t="s">
        <v>780</v>
      </c>
      <c r="B38" s="240">
        <f>14876.42+29096.23</f>
        <v>43972.65</v>
      </c>
      <c r="C38" s="240">
        <f>+(B38/$B$40)*32995.43</f>
        <v>7478.2573612717797</v>
      </c>
    </row>
    <row r="39" spans="1:3" x14ac:dyDescent="0.2">
      <c r="A39" t="s">
        <v>781</v>
      </c>
      <c r="B39" s="240">
        <f>297.25+94599.53+5533</f>
        <v>100429.78</v>
      </c>
      <c r="C39" s="240">
        <f>+(B39/$B$40)*32995.43</f>
        <v>17079.701623074918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194015.32</v>
      </c>
      <c r="C40" s="231">
        <f>SUM(C37:C39)</f>
        <v>32995.429999999993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Haverhill Coop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8395854.3900000006</v>
      </c>
      <c r="D5" s="20">
        <f>SUM('DOE25'!L197:L200)+SUM('DOE25'!L215:L218)+SUM('DOE25'!L233:L236)-F5-G5</f>
        <v>8345907.4200000009</v>
      </c>
      <c r="E5" s="243"/>
      <c r="F5" s="255">
        <f>SUM('DOE25'!J197:J200)+SUM('DOE25'!J215:J218)+SUM('DOE25'!J233:J236)</f>
        <v>27461.68</v>
      </c>
      <c r="G5" s="53">
        <f>SUM('DOE25'!K197:K200)+SUM('DOE25'!K215:K218)+SUM('DOE25'!K233:K236)</f>
        <v>22485.29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1086064.7999999998</v>
      </c>
      <c r="D6" s="20">
        <f>'DOE25'!L202+'DOE25'!L220+'DOE25'!L238-F6-G6</f>
        <v>1083258.4799999997</v>
      </c>
      <c r="E6" s="243"/>
      <c r="F6" s="255">
        <f>'DOE25'!J202+'DOE25'!J220+'DOE25'!J238</f>
        <v>0</v>
      </c>
      <c r="G6" s="53">
        <f>'DOE25'!K202+'DOE25'!K220+'DOE25'!K238</f>
        <v>2806.32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311656.62</v>
      </c>
      <c r="D7" s="20">
        <f>'DOE25'!L203+'DOE25'!L221+'DOE25'!L239-F7-G7</f>
        <v>310958.62</v>
      </c>
      <c r="E7" s="243"/>
      <c r="F7" s="255">
        <f>'DOE25'!J203+'DOE25'!J221+'DOE25'!J239</f>
        <v>698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544839.6100000001</v>
      </c>
      <c r="D8" s="243"/>
      <c r="E8" s="20">
        <f>'DOE25'!L204+'DOE25'!L222+'DOE25'!L240-F8-G8-D9-D11</f>
        <v>541065.19000000006</v>
      </c>
      <c r="F8" s="255">
        <f>'DOE25'!J204+'DOE25'!J222+'DOE25'!J240</f>
        <v>0</v>
      </c>
      <c r="G8" s="53">
        <f>'DOE25'!K204+'DOE25'!K222+'DOE25'!K240</f>
        <v>3774.42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82254.070000000007</v>
      </c>
      <c r="D9" s="244">
        <v>82254.070000000007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25698.5</v>
      </c>
      <c r="D10" s="243"/>
      <c r="E10" s="244">
        <v>25698.5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133754.84</v>
      </c>
      <c r="D11" s="244">
        <v>133754.84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855856.7</v>
      </c>
      <c r="D12" s="20">
        <f>'DOE25'!L205+'DOE25'!L223+'DOE25'!L241-F12-G12</f>
        <v>850398.68</v>
      </c>
      <c r="E12" s="243"/>
      <c r="F12" s="255">
        <f>'DOE25'!J205+'DOE25'!J223+'DOE25'!J241</f>
        <v>287.95</v>
      </c>
      <c r="G12" s="53">
        <f>'DOE25'!K205+'DOE25'!K223+'DOE25'!K241</f>
        <v>5170.07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1024578.61</v>
      </c>
      <c r="D14" s="20">
        <f>'DOE25'!L207+'DOE25'!L225+'DOE25'!L243-F14-G14</f>
        <v>1005303.74</v>
      </c>
      <c r="E14" s="243"/>
      <c r="F14" s="255">
        <f>'DOE25'!J207+'DOE25'!J225+'DOE25'!J243</f>
        <v>18149.87</v>
      </c>
      <c r="G14" s="53">
        <f>'DOE25'!K207+'DOE25'!K225+'DOE25'!K243</f>
        <v>1125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484582.25</v>
      </c>
      <c r="D15" s="20">
        <f>'DOE25'!L208+'DOE25'!L226+'DOE25'!L244-F15-G15</f>
        <v>484462.25</v>
      </c>
      <c r="E15" s="243"/>
      <c r="F15" s="255">
        <f>'DOE25'!J208+'DOE25'!J226+'DOE25'!J244</f>
        <v>0</v>
      </c>
      <c r="G15" s="53">
        <f>'DOE25'!K208+'DOE25'!K226+'DOE25'!K244</f>
        <v>120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107884.86</v>
      </c>
      <c r="D16" s="243"/>
      <c r="E16" s="20">
        <f>'DOE25'!L209+'DOE25'!L227+'DOE25'!L245-F16-G16</f>
        <v>99945.26</v>
      </c>
      <c r="F16" s="255">
        <f>'DOE25'!J209+'DOE25'!J227+'DOE25'!J245</f>
        <v>0</v>
      </c>
      <c r="G16" s="53">
        <f>'DOE25'!K209+'DOE25'!K227+'DOE25'!K245</f>
        <v>7939.6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34410.379999999997</v>
      </c>
      <c r="D19" s="20">
        <f>'DOE25'!L253-F19-G19</f>
        <v>34410.379999999997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395173.81</v>
      </c>
      <c r="D25" s="243"/>
      <c r="E25" s="243"/>
      <c r="F25" s="258"/>
      <c r="G25" s="256"/>
      <c r="H25" s="257">
        <f>'DOE25'!L260+'DOE25'!L261+'DOE25'!L341+'DOE25'!L342</f>
        <v>395173.81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298574.24</v>
      </c>
      <c r="D29" s="20">
        <f>'DOE25'!L358+'DOE25'!L359+'DOE25'!L360-'DOE25'!I367-F29-G29</f>
        <v>297855.24</v>
      </c>
      <c r="E29" s="243"/>
      <c r="F29" s="255">
        <f>'DOE25'!J358+'DOE25'!J359+'DOE25'!J360</f>
        <v>719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333430.8</v>
      </c>
      <c r="D31" s="20">
        <f>'DOE25'!L290+'DOE25'!L309+'DOE25'!L328+'DOE25'!L333+'DOE25'!L334+'DOE25'!L335-F31-G31</f>
        <v>320490.07</v>
      </c>
      <c r="E31" s="243"/>
      <c r="F31" s="255">
        <f>'DOE25'!J290+'DOE25'!J309+'DOE25'!J328+'DOE25'!J333+'DOE25'!J334+'DOE25'!J335</f>
        <v>6199.74</v>
      </c>
      <c r="G31" s="53">
        <f>'DOE25'!K290+'DOE25'!K309+'DOE25'!K328+'DOE25'!K333+'DOE25'!K334+'DOE25'!K335</f>
        <v>6740.99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12949053.790000001</v>
      </c>
      <c r="E33" s="246">
        <f>SUM(E5:E31)</f>
        <v>666708.95000000007</v>
      </c>
      <c r="F33" s="246">
        <f>SUM(F5:F31)</f>
        <v>53516.24</v>
      </c>
      <c r="G33" s="246">
        <f>SUM(G5:G31)</f>
        <v>50161.689999999995</v>
      </c>
      <c r="H33" s="246">
        <f>SUM(H5:H31)</f>
        <v>395173.81</v>
      </c>
    </row>
    <row r="35" spans="2:8" ht="12" thickBot="1" x14ac:dyDescent="0.25">
      <c r="B35" s="253" t="s">
        <v>847</v>
      </c>
      <c r="D35" s="254">
        <f>E33</f>
        <v>666708.95000000007</v>
      </c>
      <c r="E35" s="249"/>
    </row>
    <row r="36" spans="2:8" ht="12" thickTop="1" x14ac:dyDescent="0.2">
      <c r="B36" t="s">
        <v>815</v>
      </c>
      <c r="D36" s="20">
        <f>D33</f>
        <v>12949053.790000001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22" activePane="bottomLeft" state="frozen"/>
      <selection activeCell="F46" sqref="F46"/>
      <selection pane="bottomLeft" activeCell="C51" sqref="C51"/>
    </sheetView>
  </sheetViews>
  <sheetFormatPr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Haverhill Coop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-385405.7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416330.18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282752.52</v>
      </c>
      <c r="D11" s="95">
        <f>'DOE25'!G12</f>
        <v>0</v>
      </c>
      <c r="E11" s="95">
        <f>'DOE25'!H12</f>
        <v>0</v>
      </c>
      <c r="F11" s="95">
        <f>'DOE25'!I12</f>
        <v>177.32</v>
      </c>
      <c r="G11" s="95">
        <f>'DOE25'!J12</f>
        <v>100000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884273.87</v>
      </c>
      <c r="D12" s="95">
        <f>'DOE25'!G13</f>
        <v>29168.14</v>
      </c>
      <c r="E12" s="95">
        <f>'DOE25'!H13</f>
        <v>223601.37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5412.32</v>
      </c>
      <c r="D13" s="95">
        <f>'DOE25'!G14</f>
        <v>0</v>
      </c>
      <c r="E13" s="95">
        <f>'DOE25'!H14</f>
        <v>47833.33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8919.5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111278.13999999998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907230.64999999991</v>
      </c>
      <c r="D18" s="41">
        <f>SUM(D8:D17)</f>
        <v>29168.14</v>
      </c>
      <c r="E18" s="41">
        <f>SUM(E8:E17)</f>
        <v>271434.7</v>
      </c>
      <c r="F18" s="41">
        <f>SUM(F8:F17)</f>
        <v>177.32</v>
      </c>
      <c r="G18" s="41">
        <f>SUM(G8:G17)</f>
        <v>516330.18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24690.92</v>
      </c>
      <c r="E21" s="95">
        <f>'DOE25'!H22</f>
        <v>236797.91999999998</v>
      </c>
      <c r="F21" s="95">
        <f>'DOE25'!I22</f>
        <v>0</v>
      </c>
      <c r="G21" s="95">
        <f>'DOE25'!J22</f>
        <v>221441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8087.5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386761.25</v>
      </c>
      <c r="D23" s="95">
        <f>'DOE25'!G24</f>
        <v>0</v>
      </c>
      <c r="E23" s="95">
        <f>'DOE25'!H24</f>
        <v>8869.6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4477.22</v>
      </c>
      <c r="E28" s="95">
        <f>'DOE25'!H29</f>
        <v>8193.68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15795.09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394848.75</v>
      </c>
      <c r="D31" s="41">
        <f>SUM(D21:D30)</f>
        <v>29168.14</v>
      </c>
      <c r="E31" s="41">
        <f>SUM(E21:E30)</f>
        <v>269656.28999999998</v>
      </c>
      <c r="F31" s="41">
        <f>SUM(F21:F30)</f>
        <v>0</v>
      </c>
      <c r="G31" s="41">
        <f>SUM(G21:G30)</f>
        <v>221441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8919.5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180877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1778.4099999999999</v>
      </c>
      <c r="F47" s="95">
        <f>'DOE25'!I48</f>
        <v>177.32000000000016</v>
      </c>
      <c r="G47" s="95">
        <f>'DOE25'!J48</f>
        <v>294889.18000000005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222585.39999999886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512381.89999999886</v>
      </c>
      <c r="D50" s="41">
        <f>SUM(D34:D49)</f>
        <v>0</v>
      </c>
      <c r="E50" s="41">
        <f>SUM(E34:E49)</f>
        <v>1778.4099999999999</v>
      </c>
      <c r="F50" s="41">
        <f>SUM(F34:F49)</f>
        <v>177.32000000000016</v>
      </c>
      <c r="G50" s="41">
        <f>SUM(G34:G49)</f>
        <v>294889.18000000005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907230.64999999886</v>
      </c>
      <c r="D51" s="41">
        <f>D50+D31</f>
        <v>29168.14</v>
      </c>
      <c r="E51" s="41">
        <f>E50+E31</f>
        <v>271434.69999999995</v>
      </c>
      <c r="F51" s="41">
        <f>F50+F31</f>
        <v>177.32000000000016</v>
      </c>
      <c r="G51" s="41">
        <f>G50+G31</f>
        <v>516330.18000000005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6484054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1124353.01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40643.440000000002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105494.54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50347.55</v>
      </c>
      <c r="D61" s="95">
        <f>SUM('DOE25'!G98:G110)</f>
        <v>16870.150000000001</v>
      </c>
      <c r="E61" s="95">
        <f>SUM('DOE25'!H98:H110)</f>
        <v>46065.979999999996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1215344</v>
      </c>
      <c r="D62" s="130">
        <f>SUM(D57:D61)</f>
        <v>122364.69</v>
      </c>
      <c r="E62" s="130">
        <f>SUM(E57:E61)</f>
        <v>46065.979999999996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7699398</v>
      </c>
      <c r="D63" s="22">
        <f>D56+D62</f>
        <v>122364.69</v>
      </c>
      <c r="E63" s="22">
        <f>E56+E62</f>
        <v>46065.979999999996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4125153.63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751038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4876191.63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191672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294099.12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131902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500</v>
      </c>
      <c r="D77" s="95">
        <f>SUM('DOE25'!G131:G135)</f>
        <v>3602.48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618173.12</v>
      </c>
      <c r="D78" s="130">
        <f>SUM(D72:D77)</f>
        <v>3602.48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5494364.75</v>
      </c>
      <c r="D81" s="130">
        <f>SUM(D79:D80)+D78+D70</f>
        <v>3602.48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353475.25</v>
      </c>
      <c r="D88" s="95">
        <f>SUM('DOE25'!G153:G161)</f>
        <v>147437.46</v>
      </c>
      <c r="E88" s="95">
        <f>SUM('DOE25'!H153:H161)</f>
        <v>287363.67000000004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1623.6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355098.85</v>
      </c>
      <c r="D91" s="131">
        <f>SUM(D85:D90)</f>
        <v>147437.46</v>
      </c>
      <c r="E91" s="131">
        <f>SUM(E85:E90)</f>
        <v>287363.67000000004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25169.61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200000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200000</v>
      </c>
      <c r="D103" s="86">
        <f>SUM(D93:D102)</f>
        <v>25169.61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13748861.6</v>
      </c>
      <c r="D104" s="86">
        <f>D63+D81+D91+D103</f>
        <v>298574.24</v>
      </c>
      <c r="E104" s="86">
        <f>E63+E81+E91+E103</f>
        <v>333429.65000000002</v>
      </c>
      <c r="F104" s="86">
        <f>F63+F81+F91+F103</f>
        <v>0</v>
      </c>
      <c r="G104" s="86">
        <f>G63+G81+G103</f>
        <v>100000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4861262.66</v>
      </c>
      <c r="D109" s="24" t="s">
        <v>289</v>
      </c>
      <c r="E109" s="95">
        <f>('DOE25'!L276)+('DOE25'!L295)+('DOE25'!L314)</f>
        <v>219760.11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2905170.8899999997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351044.78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278376.06</v>
      </c>
      <c r="D112" s="24" t="s">
        <v>289</v>
      </c>
      <c r="E112" s="95">
        <f>+('DOE25'!L279)+('DOE25'!L298)+('DOE25'!L317)</f>
        <v>33991.65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34410.379999999997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8430264.7700000014</v>
      </c>
      <c r="D115" s="86">
        <f>SUM(D109:D114)</f>
        <v>0</v>
      </c>
      <c r="E115" s="86">
        <f>SUM(E109:E114)</f>
        <v>253751.75999999998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1086064.7999999998</v>
      </c>
      <c r="D118" s="24" t="s">
        <v>289</v>
      </c>
      <c r="E118" s="95">
        <f>+('DOE25'!L281)+('DOE25'!L300)+('DOE25'!L319)</f>
        <v>6583.9000000000005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311656.62</v>
      </c>
      <c r="D119" s="24" t="s">
        <v>289</v>
      </c>
      <c r="E119" s="95">
        <f>+('DOE25'!L282)+('DOE25'!L301)+('DOE25'!L320)</f>
        <v>8775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760848.52</v>
      </c>
      <c r="D120" s="24" t="s">
        <v>289</v>
      </c>
      <c r="E120" s="95">
        <f>+('DOE25'!L283)+('DOE25'!L302)+('DOE25'!L321)</f>
        <v>5801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855856.7</v>
      </c>
      <c r="D121" s="24" t="s">
        <v>289</v>
      </c>
      <c r="E121" s="95">
        <f>+('DOE25'!L284)+('DOE25'!L303)+('DOE25'!L322)</f>
        <v>54916.240000000005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1024578.61</v>
      </c>
      <c r="D123" s="24" t="s">
        <v>289</v>
      </c>
      <c r="E123" s="95">
        <f>+('DOE25'!L286)+('DOE25'!L305)+('DOE25'!L324)</f>
        <v>2542.5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484582.25</v>
      </c>
      <c r="D124" s="24" t="s">
        <v>289</v>
      </c>
      <c r="E124" s="95">
        <f>+('DOE25'!L287)+('DOE25'!L306)+('DOE25'!L325)</f>
        <v>1060.4000000000001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107884.86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298574.24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4631472.3600000003</v>
      </c>
      <c r="D128" s="86">
        <f>SUM(D118:D127)</f>
        <v>298574.24</v>
      </c>
      <c r="E128" s="86">
        <f>SUM(E118:E127)</f>
        <v>79679.040000000008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2685.75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376800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18373.810000000001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200000</v>
      </c>
    </row>
    <row r="135" spans="1:7" x14ac:dyDescent="0.2">
      <c r="A135" t="s">
        <v>233</v>
      </c>
      <c r="B135" s="32" t="s">
        <v>234</v>
      </c>
      <c r="C135" s="95">
        <f>'DOE25'!L263</f>
        <v>25169.61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11518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531861.41999999993</v>
      </c>
      <c r="D144" s="141">
        <f>SUM(D130:D143)</f>
        <v>0</v>
      </c>
      <c r="E144" s="141">
        <f>SUM(E130:E143)</f>
        <v>0</v>
      </c>
      <c r="F144" s="141">
        <f>SUM(F130:F143)</f>
        <v>2685.75</v>
      </c>
      <c r="G144" s="141">
        <f>SUM(G130:G143)</f>
        <v>200000</v>
      </c>
    </row>
    <row r="145" spans="1:9" ht="12.75" thickTop="1" thickBot="1" x14ac:dyDescent="0.25">
      <c r="A145" s="33" t="s">
        <v>244</v>
      </c>
      <c r="C145" s="86">
        <f>(C115+C128+C144)</f>
        <v>13593598.550000003</v>
      </c>
      <c r="D145" s="86">
        <f>(D115+D128+D144)</f>
        <v>298574.24</v>
      </c>
      <c r="E145" s="86">
        <f>(E115+E128+E144)</f>
        <v>333430.8</v>
      </c>
      <c r="F145" s="86">
        <f>(F115+F128+F144)</f>
        <v>2685.75</v>
      </c>
      <c r="G145" s="86">
        <f>(G115+G128+G144)</f>
        <v>200000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15</v>
      </c>
      <c r="D151" s="153">
        <f>'DOE25'!H490</f>
        <v>10</v>
      </c>
      <c r="E151" s="153">
        <f>'DOE25'!I490</f>
        <v>14</v>
      </c>
      <c r="F151" s="153">
        <f>'DOE25'!J490</f>
        <v>5</v>
      </c>
      <c r="G151" s="24" t="s">
        <v>289</v>
      </c>
    </row>
    <row r="152" spans="1:9" x14ac:dyDescent="0.2">
      <c r="A152" s="136" t="s">
        <v>28</v>
      </c>
      <c r="B152" s="152" t="str">
        <f>'DOE25'!F491</f>
        <v>8/21/03</v>
      </c>
      <c r="C152" s="152" t="str">
        <f>'DOE25'!G491</f>
        <v>7/6/2005</v>
      </c>
      <c r="D152" s="152" t="str">
        <f>'DOE25'!H491</f>
        <v>3/2/2009</v>
      </c>
      <c r="E152" s="152" t="str">
        <f>'DOE25'!I491</f>
        <v>11/2008</v>
      </c>
      <c r="F152" s="152" t="str">
        <f>'DOE25'!J491</f>
        <v>2/2012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8/21/18</v>
      </c>
      <c r="C153" s="152" t="str">
        <f>'DOE25'!G492</f>
        <v>7/5/2021</v>
      </c>
      <c r="D153" s="152" t="str">
        <f>'DOE25'!H492</f>
        <v>3/1/2019</v>
      </c>
      <c r="E153" s="152" t="str">
        <f>'DOE25'!I492</f>
        <v>11/2022</v>
      </c>
      <c r="F153" s="152" t="str">
        <f>'DOE25'!J492</f>
        <v>2/2017</v>
      </c>
      <c r="G153" s="24" t="s">
        <v>289</v>
      </c>
    </row>
    <row r="154" spans="1:9" x14ac:dyDescent="0.2">
      <c r="A154" s="136" t="s">
        <v>30</v>
      </c>
      <c r="B154" s="137">
        <f>'DOE25'!F493</f>
        <v>500000</v>
      </c>
      <c r="C154" s="137">
        <f>'DOE25'!G493</f>
        <v>1694000</v>
      </c>
      <c r="D154" s="137">
        <f>'DOE25'!H493</f>
        <v>605000</v>
      </c>
      <c r="E154" s="137">
        <f>'DOE25'!I493</f>
        <v>1498000</v>
      </c>
      <c r="F154" s="137">
        <f>'DOE25'!J493</f>
        <v>73535.149999999994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4.5</v>
      </c>
      <c r="E155" s="137">
        <f>'DOE25'!I494</f>
        <v>0</v>
      </c>
      <c r="F155" s="137">
        <f>'DOE25'!J494</f>
        <v>2.25</v>
      </c>
      <c r="G155" s="24" t="s">
        <v>289</v>
      </c>
    </row>
    <row r="156" spans="1:9" x14ac:dyDescent="0.2">
      <c r="A156" s="22" t="s">
        <v>32</v>
      </c>
      <c r="B156" s="137">
        <f>'DOE25'!F495</f>
        <v>133333.35</v>
      </c>
      <c r="C156" s="137">
        <f>'DOE25'!G495</f>
        <v>720533.34</v>
      </c>
      <c r="D156" s="137">
        <f>'DOE25'!H495</f>
        <v>242000</v>
      </c>
      <c r="E156" s="137">
        <f>'DOE25'!I495</f>
        <v>856000</v>
      </c>
      <c r="F156" s="137">
        <f>'DOE25'!J495</f>
        <v>29264.06</v>
      </c>
      <c r="G156" s="138">
        <f>SUM(B156:F156)</f>
        <v>1981130.75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33333.33</v>
      </c>
      <c r="C158" s="137">
        <f>'DOE25'!G497</f>
        <v>112933.33</v>
      </c>
      <c r="D158" s="137">
        <f>'DOE25'!H497</f>
        <v>60500</v>
      </c>
      <c r="E158" s="137">
        <f>'DOE25'!I497</f>
        <v>107000</v>
      </c>
      <c r="F158" s="137">
        <f>'DOE25'!J497</f>
        <v>14757.03</v>
      </c>
      <c r="G158" s="138">
        <f t="shared" si="0"/>
        <v>328523.69000000006</v>
      </c>
    </row>
    <row r="159" spans="1:9" x14ac:dyDescent="0.2">
      <c r="A159" s="22" t="s">
        <v>35</v>
      </c>
      <c r="B159" s="137">
        <f>'DOE25'!F498</f>
        <v>100000.02</v>
      </c>
      <c r="C159" s="137">
        <f>'DOE25'!G498</f>
        <v>607600.01</v>
      </c>
      <c r="D159" s="137">
        <f>'DOE25'!H498</f>
        <v>181500</v>
      </c>
      <c r="E159" s="137">
        <f>'DOE25'!I498</f>
        <v>749000</v>
      </c>
      <c r="F159" s="137">
        <f>'DOE25'!J498</f>
        <v>14507.03</v>
      </c>
      <c r="G159" s="138">
        <f t="shared" si="0"/>
        <v>1652607.06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100000.02</v>
      </c>
      <c r="C161" s="137">
        <f>'DOE25'!G500</f>
        <v>607600.01</v>
      </c>
      <c r="D161" s="137">
        <f>'DOE25'!H500</f>
        <v>181500</v>
      </c>
      <c r="E161" s="137">
        <f>'DOE25'!I500</f>
        <v>749000</v>
      </c>
      <c r="F161" s="137">
        <f>'DOE25'!J500</f>
        <v>14507.03</v>
      </c>
      <c r="G161" s="138">
        <f t="shared" si="0"/>
        <v>1652607.06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Haverhill Coop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16158</v>
      </c>
    </row>
    <row r="5" spans="1:4" x14ac:dyDescent="0.2">
      <c r="B5" t="s">
        <v>704</v>
      </c>
      <c r="C5" s="179">
        <f>IF('DOE25'!G665+'DOE25'!G670=0,0,ROUND('DOE25'!G672,0))</f>
        <v>17051</v>
      </c>
    </row>
    <row r="6" spans="1:4" x14ac:dyDescent="0.2">
      <c r="B6" t="s">
        <v>62</v>
      </c>
      <c r="C6" s="179">
        <f>IF('DOE25'!H665+'DOE25'!H670=0,0,ROUND('DOE25'!H672,0))</f>
        <v>20797</v>
      </c>
    </row>
    <row r="7" spans="1:4" x14ac:dyDescent="0.2">
      <c r="B7" t="s">
        <v>705</v>
      </c>
      <c r="C7" s="179">
        <f>IF('DOE25'!I665+'DOE25'!I670=0,0,ROUND('DOE25'!I672,0))</f>
        <v>17962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5081023</v>
      </c>
      <c r="D10" s="182">
        <f>ROUND((C10/$C$28)*100,1)</f>
        <v>37.4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2905171</v>
      </c>
      <c r="D11" s="182">
        <f>ROUND((C11/$C$28)*100,1)</f>
        <v>21.4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351045</v>
      </c>
      <c r="D12" s="182">
        <f>ROUND((C12/$C$28)*100,1)</f>
        <v>2.6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312368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1092649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320432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874534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910773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1027121</v>
      </c>
      <c r="D20" s="182">
        <f t="shared" si="0"/>
        <v>7.6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485643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34410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ROUND('DOE25'!L261+'DOE25'!L342,0)</f>
        <v>18374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11518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176209.31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13601270.310000001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2686</v>
      </c>
    </row>
    <row r="30" spans="1:4" x14ac:dyDescent="0.2">
      <c r="B30" s="187" t="s">
        <v>729</v>
      </c>
      <c r="C30" s="180">
        <f>SUM(C28:C29)</f>
        <v>13603956.310000001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376800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6484054</v>
      </c>
      <c r="D35" s="182">
        <f t="shared" ref="D35:D40" si="1">ROUND((C35/$C$41)*100,1)</f>
        <v>46.2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1261409.9800000004</v>
      </c>
      <c r="D36" s="182">
        <f t="shared" si="1"/>
        <v>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4876192</v>
      </c>
      <c r="D37" s="182">
        <f t="shared" si="1"/>
        <v>34.700000000000003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621776</v>
      </c>
      <c r="D38" s="182">
        <f t="shared" si="1"/>
        <v>4.4000000000000004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789900</v>
      </c>
      <c r="D39" s="182">
        <f t="shared" si="1"/>
        <v>5.6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14033331.98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Haverhill Coop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2016-12-08T12:43:44Z</cp:lastPrinted>
  <dcterms:created xsi:type="dcterms:W3CDTF">1997-12-04T19:04:30Z</dcterms:created>
  <dcterms:modified xsi:type="dcterms:W3CDTF">2016-12-08T12:44:57Z</dcterms:modified>
</cp:coreProperties>
</file>