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0" yWindow="0" windowWidth="28800" windowHeight="1242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C120" i="2" s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C109" i="2" s="1"/>
  <c r="L234" i="1"/>
  <c r="L235" i="1"/>
  <c r="C111" i="2" s="1"/>
  <c r="L236" i="1"/>
  <c r="C112" i="2" s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D14" i="13" s="1"/>
  <c r="C14" i="13" s="1"/>
  <c r="L243" i="1"/>
  <c r="F15" i="13"/>
  <c r="G15" i="13"/>
  <c r="L208" i="1"/>
  <c r="G649" i="1" s="1"/>
  <c r="L226" i="1"/>
  <c r="G662" i="1" s="1"/>
  <c r="L244" i="1"/>
  <c r="H662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H661" i="1" s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309" i="1" s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E118" i="2" s="1"/>
  <c r="E128" i="2" s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25" i="10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A31" i="12" s="1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401" i="1" s="1"/>
  <c r="C139" i="2" s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C57" i="2" s="1"/>
  <c r="F94" i="1"/>
  <c r="F111" i="1"/>
  <c r="G111" i="1"/>
  <c r="H79" i="1"/>
  <c r="E57" i="2" s="1"/>
  <c r="E62" i="2" s="1"/>
  <c r="E63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C19" i="10"/>
  <c r="C21" i="10"/>
  <c r="L250" i="1"/>
  <c r="L332" i="1"/>
  <c r="L254" i="1"/>
  <c r="L268" i="1"/>
  <c r="L269" i="1"/>
  <c r="L349" i="1"/>
  <c r="L350" i="1"/>
  <c r="I665" i="1"/>
  <c r="I670" i="1"/>
  <c r="F661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F552" i="1" s="1"/>
  <c r="L523" i="1"/>
  <c r="F551" i="1" s="1"/>
  <c r="L526" i="1"/>
  <c r="G549" i="1" s="1"/>
  <c r="L527" i="1"/>
  <c r="G550" i="1" s="1"/>
  <c r="L528" i="1"/>
  <c r="G551" i="1" s="1"/>
  <c r="G552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J552" i="1" s="1"/>
  <c r="L543" i="1"/>
  <c r="J551" i="1" s="1"/>
  <c r="E132" i="2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D18" i="2" s="1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C78" i="2" s="1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C110" i="2"/>
  <c r="E111" i="2"/>
  <c r="E112" i="2"/>
  <c r="C113" i="2"/>
  <c r="E113" i="2"/>
  <c r="C114" i="2"/>
  <c r="E114" i="2"/>
  <c r="D115" i="2"/>
  <c r="F115" i="2"/>
  <c r="G115" i="2"/>
  <c r="C119" i="2"/>
  <c r="E119" i="2"/>
  <c r="E120" i="2"/>
  <c r="E121" i="2"/>
  <c r="C122" i="2"/>
  <c r="E122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G156" i="2" s="1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F192" i="1" s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L256" i="1" s="1"/>
  <c r="H256" i="1"/>
  <c r="I256" i="1"/>
  <c r="J256" i="1"/>
  <c r="K256" i="1"/>
  <c r="L270" i="1"/>
  <c r="F290" i="1"/>
  <c r="G290" i="1"/>
  <c r="H290" i="1"/>
  <c r="I290" i="1"/>
  <c r="F309" i="1"/>
  <c r="G309" i="1"/>
  <c r="H309" i="1"/>
  <c r="H338" i="1" s="1"/>
  <c r="H352" i="1" s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G634" i="1" s="1"/>
  <c r="J634" i="1" s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H408" i="1" s="1"/>
  <c r="H644" i="1" s="1"/>
  <c r="I401" i="1"/>
  <c r="F407" i="1"/>
  <c r="G407" i="1"/>
  <c r="H407" i="1"/>
  <c r="I407" i="1"/>
  <c r="F408" i="1"/>
  <c r="I408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I452" i="1"/>
  <c r="F460" i="1"/>
  <c r="G460" i="1"/>
  <c r="H460" i="1"/>
  <c r="H461" i="1" s="1"/>
  <c r="H641" i="1" s="1"/>
  <c r="F461" i="1"/>
  <c r="G461" i="1"/>
  <c r="F470" i="1"/>
  <c r="G470" i="1"/>
  <c r="H470" i="1"/>
  <c r="I470" i="1"/>
  <c r="J470" i="1"/>
  <c r="F474" i="1"/>
  <c r="G474" i="1"/>
  <c r="G476" i="1" s="1"/>
  <c r="H623" i="1" s="1"/>
  <c r="J623" i="1" s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K545" i="1" s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5" i="1" s="1"/>
  <c r="L563" i="1"/>
  <c r="L564" i="1"/>
  <c r="F565" i="1"/>
  <c r="G565" i="1"/>
  <c r="H565" i="1"/>
  <c r="I565" i="1"/>
  <c r="J565" i="1"/>
  <c r="J571" i="1" s="1"/>
  <c r="K565" i="1"/>
  <c r="L567" i="1"/>
  <c r="L568" i="1"/>
  <c r="L569" i="1"/>
  <c r="L570" i="1" s="1"/>
  <c r="F570" i="1"/>
  <c r="G570" i="1"/>
  <c r="H570" i="1"/>
  <c r="I570" i="1"/>
  <c r="I571" i="1" s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J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20" i="1"/>
  <c r="G622" i="1"/>
  <c r="G623" i="1"/>
  <c r="G625" i="1"/>
  <c r="H627" i="1"/>
  <c r="H628" i="1"/>
  <c r="H629" i="1"/>
  <c r="H630" i="1"/>
  <c r="H631" i="1"/>
  <c r="H632" i="1"/>
  <c r="H633" i="1"/>
  <c r="H634" i="1"/>
  <c r="H635" i="1"/>
  <c r="H636" i="1"/>
  <c r="J636" i="1" s="1"/>
  <c r="H637" i="1"/>
  <c r="H638" i="1"/>
  <c r="G639" i="1"/>
  <c r="H639" i="1"/>
  <c r="G640" i="1"/>
  <c r="H640" i="1"/>
  <c r="J640" i="1" s="1"/>
  <c r="G641" i="1"/>
  <c r="J641" i="1" s="1"/>
  <c r="G643" i="1"/>
  <c r="J643" i="1" s="1"/>
  <c r="H643" i="1"/>
  <c r="G644" i="1"/>
  <c r="G645" i="1"/>
  <c r="H647" i="1"/>
  <c r="G650" i="1"/>
  <c r="G651" i="1"/>
  <c r="G652" i="1"/>
  <c r="H652" i="1"/>
  <c r="G653" i="1"/>
  <c r="H653" i="1"/>
  <c r="G654" i="1"/>
  <c r="H654" i="1"/>
  <c r="H655" i="1"/>
  <c r="I257" i="1"/>
  <c r="I271" i="1" s="1"/>
  <c r="C18" i="2"/>
  <c r="C26" i="10"/>
  <c r="L351" i="1"/>
  <c r="L290" i="1"/>
  <c r="C70" i="2"/>
  <c r="A40" i="12"/>
  <c r="D62" i="2"/>
  <c r="D63" i="2" s="1"/>
  <c r="D18" i="13"/>
  <c r="C18" i="13" s="1"/>
  <c r="D7" i="13"/>
  <c r="C7" i="13" s="1"/>
  <c r="D17" i="13"/>
  <c r="C17" i="13" s="1"/>
  <c r="C91" i="2"/>
  <c r="F78" i="2"/>
  <c r="F81" i="2" s="1"/>
  <c r="D31" i="2"/>
  <c r="D50" i="2"/>
  <c r="F18" i="2"/>
  <c r="E103" i="2"/>
  <c r="G62" i="2"/>
  <c r="D19" i="13"/>
  <c r="C19" i="13" s="1"/>
  <c r="E13" i="13"/>
  <c r="C13" i="13" s="1"/>
  <c r="E78" i="2"/>
  <c r="E81" i="2" s="1"/>
  <c r="H112" i="1"/>
  <c r="L433" i="1"/>
  <c r="D81" i="2"/>
  <c r="I169" i="1"/>
  <c r="F476" i="1"/>
  <c r="H622" i="1" s="1"/>
  <c r="I476" i="1"/>
  <c r="H625" i="1" s="1"/>
  <c r="J625" i="1" s="1"/>
  <c r="F169" i="1"/>
  <c r="J140" i="1"/>
  <c r="F571" i="1"/>
  <c r="I552" i="1"/>
  <c r="K549" i="1"/>
  <c r="G22" i="2"/>
  <c r="H552" i="1"/>
  <c r="C29" i="10"/>
  <c r="H140" i="1"/>
  <c r="L393" i="1"/>
  <c r="A13" i="12"/>
  <c r="F22" i="13"/>
  <c r="H571" i="1"/>
  <c r="J545" i="1"/>
  <c r="F338" i="1"/>
  <c r="F352" i="1" s="1"/>
  <c r="G192" i="1"/>
  <c r="H192" i="1"/>
  <c r="C35" i="10"/>
  <c r="E16" i="13"/>
  <c r="C16" i="13" s="1"/>
  <c r="G36" i="2"/>
  <c r="C22" i="13"/>
  <c r="C138" i="2"/>
  <c r="L524" i="1" l="1"/>
  <c r="G545" i="1"/>
  <c r="K551" i="1"/>
  <c r="L529" i="1"/>
  <c r="I545" i="1"/>
  <c r="K550" i="1"/>
  <c r="L544" i="1"/>
  <c r="H545" i="1"/>
  <c r="K338" i="1"/>
  <c r="K352" i="1" s="1"/>
  <c r="L328" i="1"/>
  <c r="H476" i="1"/>
  <c r="H624" i="1" s="1"/>
  <c r="E110" i="2"/>
  <c r="E115" i="2" s="1"/>
  <c r="E145" i="2" s="1"/>
  <c r="C11" i="10"/>
  <c r="G338" i="1"/>
  <c r="G352" i="1" s="1"/>
  <c r="J644" i="1"/>
  <c r="F662" i="1"/>
  <c r="I662" i="1" s="1"/>
  <c r="C124" i="2"/>
  <c r="D15" i="13"/>
  <c r="C15" i="13" s="1"/>
  <c r="K598" i="1"/>
  <c r="G647" i="1" s="1"/>
  <c r="J647" i="1" s="1"/>
  <c r="J649" i="1"/>
  <c r="C121" i="2"/>
  <c r="H257" i="1"/>
  <c r="H271" i="1" s="1"/>
  <c r="L211" i="1"/>
  <c r="F660" i="1" s="1"/>
  <c r="F664" i="1" s="1"/>
  <c r="F667" i="1" s="1"/>
  <c r="J257" i="1"/>
  <c r="J271" i="1" s="1"/>
  <c r="C123" i="2"/>
  <c r="C13" i="10"/>
  <c r="C18" i="10"/>
  <c r="K257" i="1"/>
  <c r="K271" i="1" s="1"/>
  <c r="C132" i="2"/>
  <c r="H25" i="13"/>
  <c r="G257" i="1"/>
  <c r="G271" i="1" s="1"/>
  <c r="C16" i="10"/>
  <c r="C20" i="10"/>
  <c r="D12" i="13"/>
  <c r="C12" i="13" s="1"/>
  <c r="E8" i="13"/>
  <c r="C8" i="13" s="1"/>
  <c r="C17" i="10"/>
  <c r="D5" i="13"/>
  <c r="C5" i="13" s="1"/>
  <c r="L247" i="1"/>
  <c r="C12" i="10"/>
  <c r="L229" i="1"/>
  <c r="G660" i="1" s="1"/>
  <c r="G664" i="1" s="1"/>
  <c r="G672" i="1" s="1"/>
  <c r="C5" i="10" s="1"/>
  <c r="C10" i="10"/>
  <c r="F257" i="1"/>
  <c r="F271" i="1" s="1"/>
  <c r="D6" i="13"/>
  <c r="C6" i="13" s="1"/>
  <c r="C15" i="10"/>
  <c r="C118" i="2"/>
  <c r="C115" i="2"/>
  <c r="D127" i="2"/>
  <c r="D128" i="2" s="1"/>
  <c r="L362" i="1"/>
  <c r="C27" i="10" s="1"/>
  <c r="D29" i="13"/>
  <c r="C29" i="13" s="1"/>
  <c r="G661" i="1"/>
  <c r="I661" i="1" s="1"/>
  <c r="K503" i="1"/>
  <c r="G164" i="2"/>
  <c r="G161" i="2"/>
  <c r="J476" i="1"/>
  <c r="H626" i="1" s="1"/>
  <c r="I460" i="1"/>
  <c r="I461" i="1" s="1"/>
  <c r="H642" i="1" s="1"/>
  <c r="J639" i="1"/>
  <c r="J645" i="1"/>
  <c r="J655" i="1"/>
  <c r="C81" i="2"/>
  <c r="F112" i="1"/>
  <c r="H52" i="1"/>
  <c r="H619" i="1" s="1"/>
  <c r="J619" i="1" s="1"/>
  <c r="J622" i="1"/>
  <c r="J617" i="1"/>
  <c r="G624" i="1"/>
  <c r="K500" i="1"/>
  <c r="D145" i="2"/>
  <c r="G81" i="2"/>
  <c r="C62" i="2"/>
  <c r="C63" i="2" s="1"/>
  <c r="C104" i="2" s="1"/>
  <c r="G112" i="1"/>
  <c r="C36" i="10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L338" i="1"/>
  <c r="L352" i="1" s="1"/>
  <c r="G633" i="1" s="1"/>
  <c r="J633" i="1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G63" i="2"/>
  <c r="G104" i="2" s="1"/>
  <c r="J618" i="1"/>
  <c r="G42" i="2"/>
  <c r="G50" i="2" s="1"/>
  <c r="G51" i="2" s="1"/>
  <c r="J51" i="1"/>
  <c r="G16" i="2"/>
  <c r="J19" i="1"/>
  <c r="G621" i="1" s="1"/>
  <c r="G18" i="2"/>
  <c r="F545" i="1"/>
  <c r="H434" i="1"/>
  <c r="J620" i="1"/>
  <c r="D103" i="2"/>
  <c r="D104" i="2" s="1"/>
  <c r="I140" i="1"/>
  <c r="A22" i="12"/>
  <c r="J652" i="1"/>
  <c r="J642" i="1"/>
  <c r="G571" i="1"/>
  <c r="I434" i="1"/>
  <c r="G434" i="1"/>
  <c r="I663" i="1"/>
  <c r="G635" i="1"/>
  <c r="J635" i="1" s="1"/>
  <c r="L545" i="1" l="1"/>
  <c r="K552" i="1"/>
  <c r="J624" i="1"/>
  <c r="D31" i="13"/>
  <c r="C31" i="13" s="1"/>
  <c r="H648" i="1"/>
  <c r="J648" i="1" s="1"/>
  <c r="C128" i="2"/>
  <c r="C145" i="2" s="1"/>
  <c r="E33" i="13"/>
  <c r="D35" i="13" s="1"/>
  <c r="C25" i="13"/>
  <c r="H33" i="13"/>
  <c r="L257" i="1"/>
  <c r="L271" i="1" s="1"/>
  <c r="G632" i="1" s="1"/>
  <c r="J632" i="1" s="1"/>
  <c r="H660" i="1"/>
  <c r="H664" i="1" s="1"/>
  <c r="H672" i="1" s="1"/>
  <c r="C6" i="10" s="1"/>
  <c r="C28" i="10"/>
  <c r="D24" i="10" s="1"/>
  <c r="F672" i="1"/>
  <c r="C4" i="10" s="1"/>
  <c r="H646" i="1"/>
  <c r="J646" i="1" s="1"/>
  <c r="I193" i="1"/>
  <c r="G630" i="1" s="1"/>
  <c r="J630" i="1" s="1"/>
  <c r="G667" i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D33" i="13" l="1"/>
  <c r="D36" i="13" s="1"/>
  <c r="D23" i="10"/>
  <c r="I660" i="1"/>
  <c r="I664" i="1" s="1"/>
  <c r="I672" i="1" s="1"/>
  <c r="C7" i="10" s="1"/>
  <c r="D20" i="10"/>
  <c r="D15" i="10"/>
  <c r="D10" i="10"/>
  <c r="D11" i="10"/>
  <c r="H667" i="1"/>
  <c r="D26" i="10"/>
  <c r="D13" i="10"/>
  <c r="D25" i="10"/>
  <c r="D21" i="10"/>
  <c r="C30" i="10"/>
  <c r="D16" i="10"/>
  <c r="D19" i="10"/>
  <c r="D22" i="10"/>
  <c r="D27" i="10"/>
  <c r="D18" i="10"/>
  <c r="D17" i="10"/>
  <c r="D12" i="10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<sst xmlns="http://schemas.openxmlformats.org/spreadsheetml/2006/main" count="3960" uniqueCount="918">
  <si>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</si>
  <si>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</si>
  <si>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</si>
  <si>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</si>
  <si>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</si>
  <si>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</si>
  <si>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</si>
  <si>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</si>
  <si>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</si>
  <si>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</si>
  <si>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</si>
  <si>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</si>
  <si>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</si>
  <si>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</si>
  <si>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</si>
  <si>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</si>
  <si>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</si>
  <si>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</si>
  <si>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</si>
  <si>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</si>
  <si>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</si>
  <si>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</si>
  <si>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</si>
  <si>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</si>
  <si>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</si>
  <si>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</si>
  <si>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</si>
  <si>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</si>
  <si>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</si>
  <si>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</si>
  <si>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</si>
  <si>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</si>
  <si>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</si>
  <si>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</si>
  <si>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</si>
  <si>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</si>
  <si>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</si>
  <si>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</si>
  <si>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</si>
  <si>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</si>
  <si>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</si>
  <si>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</si>
  <si>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</si>
  <si>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</si>
  <si>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</si>
  <si>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</si>
  <si>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</si>
  <si>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</si>
  <si>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</si>
  <si>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</si>
  <si>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</si>
  <si>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</si>
  <si>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</si>
  <si>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</si>
  <si>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</si>
  <si>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</si>
  <si>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</si>
  <si>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</si>
  <si>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</si>
  <si>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</si>
  <si>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</si>
  <si>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</si>
  <si>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</si>
  <si>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</si>
  <si>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</si>
  <si>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</si>
  <si>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</si>
  <si>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</si>
  <si>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</si>
  <si>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</si>
  <si>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</si>
  <si>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</si>
  <si>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</si>
  <si>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</si>
  <si>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</si>
  <si>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</si>
  <si>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</si>
  <si>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</si>
  <si>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</si>
  <si>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</si>
  <si>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</si>
  <si>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</si>
  <si>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</si>
  <si>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</si>
  <si>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</si>
  <si>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</si>
  <si>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</si>
  <si>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</si>
  <si>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</si>
  <si>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</si>
  <si>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</si>
  <si>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</si>
  <si>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</si>
  <si>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</si>
  <si>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</si>
  <si>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</si>
  <si>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</si>
  <si>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</si>
  <si>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</si>
  <si>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</si>
  <si>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</si>
  <si>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</si>
  <si>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</si>
  <si>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</si>
  <si>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</si>
  <si>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</si>
  <si>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</si>
  <si>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</si>
  <si>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</si>
  <si>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</si>
  <si>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</si>
  <si>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</si>
  <si>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</si>
  <si>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</si>
  <si>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</si>
  <si>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</si>
  <si>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</si>
  <si>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</si>
  <si>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</si>
  <si>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</si>
  <si>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</si>
  <si>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</si>
  <si>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</si>
  <si>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</si>
  <si>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</si>
  <si>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</si>
  <si>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</si>
  <si>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</si>
  <si>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</si>
  <si>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</si>
  <si>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</si>
  <si>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</si>
  <si>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</si>
  <si>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</si>
  <si>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</si>
  <si>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</si>
  <si>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</si>
  <si>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</si>
  <si>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</si>
  <si>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</si>
  <si>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</si>
  <si>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</si>
  <si>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</si>
  <si>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</si>
  <si>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</si>
  <si>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</si>
  <si>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</si>
  <si>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</si>
  <si>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</si>
  <si>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</si>
  <si>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</si>
  <si>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</si>
  <si>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</si>
  <si>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</si>
  <si>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</si>
  <si>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</si>
  <si>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</si>
  <si>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</si>
  <si>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</si>
  <si>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</si>
  <si>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</si>
  <si>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</si>
  <si>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</si>
  <si>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</si>
  <si>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</si>
  <si>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</si>
  <si>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</si>
  <si>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</si>
  <si>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</si>
  <si>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</si>
  <si>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</si>
  <si>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</si>
  <si>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</si>
  <si>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</si>
  <si>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</si>
  <si>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</si>
  <si>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</si>
  <si>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</si>
  <si>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</si>
  <si>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</si>
  <si>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</si>
  <si>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</si>
  <si>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</si>
  <si>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</si>
  <si>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</si>
  <si>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</si>
  <si>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</si>
  <si>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</si>
  <si>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</si>
  <si>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</si>
  <si>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</si>
  <si>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</si>
  <si>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</si>
  <si>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</si>
  <si>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</si>
  <si>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</si>
  <si>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</si>
  <si>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</si>
  <si>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</si>
  <si>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</si>
  <si>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</si>
  <si>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</si>
  <si>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</si>
  <si>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</si>
  <si>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</si>
  <si>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</si>
  <si>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</si>
  <si>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</si>
  <si>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</si>
  <si>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</si>
  <si>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</si>
  <si>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</si>
  <si>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</si>
  <si>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</si>
  <si>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</si>
  <si>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</si>
  <si>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</si>
  <si>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</si>
  <si>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</si>
  <si>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</si>
  <si>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</si>
  <si>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</si>
  <si>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</si>
  <si>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</si>
  <si>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</si>
  <si>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</si>
  <si>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</si>
  <si>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</si>
  <si>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</si>
  <si>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</si>
  <si>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</si>
  <si>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</si>
  <si>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</si>
  <si>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</si>
  <si>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</si>
  <si>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</si>
  <si>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</si>
  <si>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</si>
  <si>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</si>
  <si>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</si>
  <si>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</si>
  <si>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</si>
  <si>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</si>
  <si>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</si>
  <si>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</si>
  <si>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</si>
  <si>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</si>
  <si>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</si>
  <si>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</si>
  <si>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</si>
  <si>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</si>
  <si>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</si>
  <si>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</si>
  <si>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</si>
  <si>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</si>
  <si>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</si>
  <si>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</si>
  <si>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</si>
  <si>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</si>
  <si>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</si>
  <si>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</si>
  <si>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</si>
  <si>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</si>
  <si>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</si>
  <si>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</si>
  <si>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</si>
  <si>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</si>
  <si>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</si>
  <si>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</si>
  <si>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</si>
  <si>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</si>
  <si>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</si>
  <si>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</si>
  <si>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</si>
  <si>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</si>
  <si>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</si>
  <si>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</si>
  <si>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</si>
  <si>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</si>
  <si>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</si>
  <si>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</si>
  <si>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</si>
  <si>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</si>
  <si>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</si>
  <si>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</si>
  <si>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</si>
  <si>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</si>
  <si>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</si>
  <si>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</si>
  <si>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</si>
  <si>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</si>
  <si>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</si>
  <si>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</si>
  <si>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</si>
  <si>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</si>
  <si>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</si>
  <si>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</si>
  <si>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</si>
  <si>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</si>
  <si>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</si>
  <si>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</si>
  <si>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</si>
  <si>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</si>
  <si>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</si>
  <si>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</si>
  <si>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</si>
  <si>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</si>
  <si>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</si>
  <si>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</si>
  <si>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</si>
  <si>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</si>
  <si>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</si>
  <si>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</si>
  <si>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</si>
  <si>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</si>
  <si>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</si>
  <si>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</si>
  <si>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</si>
  <si>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</si>
  <si>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</si>
  <si>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</si>
  <si>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</si>
  <si>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</si>
  <si>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</si>
  <si>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</si>
  <si>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</si>
  <si>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</si>
  <si>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</si>
  <si>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</si>
  <si>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</si>
  <si>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</si>
  <si>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</si>
  <si>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</si>
  <si>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</si>
  <si>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</si>
  <si>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</si>
  <si>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</si>
  <si>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</si>
  <si>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</si>
  <si>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</si>
  <si>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</si>
  <si>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</si>
  <si>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</si>
  <si>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</si>
  <si>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</si>
  <si>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</si>
  <si>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</si>
  <si>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</si>
  <si>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</si>
  <si>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</si>
  <si>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</si>
  <si>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</si>
  <si>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</si>
  <si>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</si>
  <si>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</si>
  <si>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</si>
  <si>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</si>
  <si>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</si>
  <si>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</si>
  <si>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</si>
  <si>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</si>
  <si>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</si>
  <si>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</si>
  <si>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</si>
  <si>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</si>
  <si>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</si>
  <si>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</si>
  <si>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</si>
  <si>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</si>
  <si>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</si>
  <si>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</si>
  <si>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</si>
  <si>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</si>
  <si>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</si>
  <si>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</si>
  <si>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</si>
  <si>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</si>
  <si>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</si>
  <si>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</si>
  <si>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</si>
  <si>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</si>
  <si>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</si>
  <si>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</si>
  <si>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</si>
  <si>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</si>
  <si>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</si>
  <si>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</si>
  <si>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</si>
  <si>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</si>
  <si>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</si>
  <si>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</si>
  <si>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</si>
  <si>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</si>
  <si>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</si>
  <si>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</si>
  <si>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</si>
  <si>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</si>
  <si>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</si>
  <si>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</si>
  <si>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</si>
  <si>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</si>
  <si>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</si>
  <si>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</si>
  <si>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</si>
  <si>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</si>
  <si>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</si>
  <si>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</si>
  <si>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</si>
  <si>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</si>
  <si>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</si>
  <si>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</si>
  <si>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</si>
  <si>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</si>
  <si>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</si>
  <si>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</si>
  <si>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</si>
  <si>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</si>
  <si>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</si>
  <si>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</si>
  <si>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</si>
  <si>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</si>
  <si>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</si>
  <si>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</si>
  <si>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</si>
  <si>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</si>
  <si>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</si>
  <si>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</si>
  <si>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</si>
  <si>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</si>
  <si>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</si>
  <si>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</si>
  <si>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</si>
  <si>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</si>
  <si>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</si>
  <si>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</si>
  <si>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</si>
  <si>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</si>
  <si>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</si>
  <si>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</si>
  <si>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</si>
  <si>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</si>
  <si>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</si>
  <si>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</si>
  <si>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</si>
  <si>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</si>
  <si>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</si>
  <si>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</si>
  <si>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</si>
  <si>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</si>
  <si>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</si>
  <si>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</si>
  <si>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</si>
  <si>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</si>
  <si>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</si>
  <si>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</si>
  <si>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</si>
  <si>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</si>
  <si>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</si>
  <si>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</si>
  <si>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</si>
  <si>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</si>
  <si>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</si>
  <si>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</si>
  <si>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</si>
  <si>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</si>
  <si>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</si>
  <si>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</si>
  <si>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</si>
  <si>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</si>
  <si>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</si>
  <si>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</si>
  <si>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</si>
  <si>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</si>
  <si>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</si>
  <si>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</si>
  <si>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</si>
  <si>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</si>
  <si>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</si>
  <si>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</si>
  <si>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</si>
  <si>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</si>
  <si>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</si>
  <si>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</si>
  <si>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</si>
  <si>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</si>
  <si>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</si>
  <si>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</si>
  <si>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</si>
  <si>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</si>
  <si>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</si>
  <si>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</si>
  <si>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</si>
  <si>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</si>
  <si>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</si>
  <si>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</si>
  <si>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</si>
  <si>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</si>
  <si>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</si>
  <si>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</si>
  <si>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</si>
  <si>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</si>
  <si>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</si>
  <si>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</si>
  <si>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</si>
  <si>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</si>
  <si>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</si>
  <si>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</si>
  <si>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</si>
  <si>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</si>
  <si>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</si>
  <si>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</si>
  <si>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</si>
  <si>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</si>
  <si>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</si>
  <si>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</si>
  <si>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</si>
  <si>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</si>
  <si>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</si>
  <si>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</si>
  <si>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</si>
  <si>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</si>
  <si>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</si>
  <si>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</si>
  <si>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</si>
  <si>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</si>
  <si>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</si>
  <si>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</si>
  <si>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</si>
  <si>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</si>
  <si>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</si>
  <si>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</si>
  <si>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</si>
  <si>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</si>
  <si>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</si>
  <si>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</si>
  <si>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</si>
  <si>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</si>
  <si>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</si>
  <si>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</si>
  <si>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</si>
  <si>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</si>
  <si>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</si>
  <si>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</si>
  <si>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</si>
  <si>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</si>
  <si>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</si>
  <si>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</si>
  <si>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</si>
  <si>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</si>
  <si>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</si>
  <si>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</si>
  <si>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</si>
  <si>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</si>
  <si>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</si>
  <si>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</si>
  <si>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</si>
  <si>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</si>
  <si>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</si>
  <si>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</si>
  <si>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</si>
  <si>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</si>
  <si>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</si>
  <si>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</si>
  <si>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</si>
  <si>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</si>
  <si>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</si>
  <si>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</si>
  <si>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</si>
  <si>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</si>
  <si>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</si>
  <si>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</si>
  <si>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</si>
  <si>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</si>
  <si>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</si>
  <si>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</si>
  <si>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</si>
  <si>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</si>
  <si>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</si>
  <si>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</si>
  <si>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</si>
  <si>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</si>
  <si>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</si>
  <si>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</si>
  <si>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</si>
  <si>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</si>
  <si>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</si>
  <si>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</si>
  <si>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</si>
  <si>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</si>
  <si>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</si>
  <si>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</si>
  <si>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</si>
  <si>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</si>
  <si>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</si>
  <si>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</si>
  <si>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</si>
  <si>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</si>
  <si>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</si>
  <si>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</si>
  <si>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</si>
  <si>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</si>
  <si>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</si>
  <si>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</si>
  <si>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</si>
  <si>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</si>
  <si>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</si>
  <si>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</si>
  <si>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</si>
  <si>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</si>
  <si>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</si>
  <si>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</si>
  <si>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</si>
  <si>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</si>
  <si>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</si>
  <si>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</si>
  <si>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</si>
  <si>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</si>
  <si>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</si>
  <si>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</si>
  <si>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</si>
  <si>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</si>
  <si>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</si>
  <si>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</si>
  <si>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</si>
  <si>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</si>
  <si>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</si>
  <si>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</si>
  <si>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</si>
  <si>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</si>
  <si>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</si>
  <si>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</si>
  <si>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</si>
  <si>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</si>
  <si>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</si>
  <si>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</si>
  <si>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</si>
  <si>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</si>
  <si>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</si>
  <si>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</si>
  <si>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</si>
  <si>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</si>
  <si>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</si>
  <si>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</si>
  <si>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</si>
  <si>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</si>
  <si>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</si>
  <si>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</si>
  <si>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</si>
  <si>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</si>
  <si>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</si>
  <si>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</si>
  <si>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</si>
  <si>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</si>
  <si>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</si>
  <si>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</si>
  <si>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</si>
  <si>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</si>
  <si>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</si>
  <si>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</si>
  <si>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</si>
  <si>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</si>
  <si>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</si>
  <si>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</si>
  <si>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</si>
  <si>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</si>
  <si>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</si>
  <si>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</si>
  <si>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</si>
  <si>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</si>
  <si>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</si>
  <si>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</si>
  <si>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</si>
  <si>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</si>
  <si>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</si>
  <si>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</si>
  <si>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</si>
  <si>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</si>
  <si>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</si>
  <si>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</si>
  <si>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</si>
  <si>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</si>
  <si>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</si>
  <si>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</si>
  <si>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</si>
  <si>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</si>
  <si>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</si>
  <si>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</si>
  <si>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</si>
  <si>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</si>
  <si>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</si>
  <si>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</si>
  <si>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</si>
  <si>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</si>
  <si>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</si>
  <si>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</si>
  <si>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</si>
  <si>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</si>
  <si>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</si>
  <si>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</si>
  <si>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</si>
  <si>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</si>
  <si>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</si>
  <si>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</si>
  <si>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</si>
  <si>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</si>
  <si>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</si>
  <si>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</si>
  <si>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</si>
  <si>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</si>
  <si>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</si>
  <si>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</si>
  <si>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</si>
  <si>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</si>
  <si>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</si>
  <si>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</si>
  <si>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</si>
  <si>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</si>
  <si>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</si>
  <si>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</si>
  <si>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</si>
  <si>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</si>
  <si>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</si>
  <si>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</si>
  <si>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</si>
  <si>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</si>
  <si>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</si>
  <si>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</si>
  <si>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</si>
  <si>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</si>
  <si>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</si>
  <si>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</si>
  <si>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</si>
  <si>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</si>
  <si>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</si>
  <si>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</si>
  <si>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</si>
  <si>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</si>
  <si>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</si>
  <si>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</si>
  <si>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</si>
  <si>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</si>
  <si>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</si>
  <si>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</si>
  <si>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</si>
  <si>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</si>
  <si>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</si>
  <si>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</si>
  <si>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</si>
  <si>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</si>
  <si>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</si>
  <si>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</si>
  <si>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</si>
  <si>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</si>
  <si>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</si>
  <si>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</si>
  <si>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</si>
  <si>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</si>
  <si>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</si>
  <si>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</si>
  <si>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</si>
  <si>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</si>
  <si>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</si>
  <si>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</si>
  <si>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</si>
  <si>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</si>
  <si>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</si>
  <si>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</si>
  <si>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</si>
  <si>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</si>
  <si>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</si>
  <si>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</si>
  <si>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</si>
  <si>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</si>
  <si>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</si>
  <si>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</si>
  <si>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</si>
  <si>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</si>
  <si>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</si>
  <si>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</si>
  <si>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</si>
  <si>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</si>
  <si>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</si>
  <si>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</si>
  <si>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</si>
  <si>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</si>
  <si>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</si>
  <si>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</si>
  <si>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</si>
  <si>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</si>
  <si>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</si>
  <si>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</si>
  <si>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</si>
  <si>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</si>
  <si>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</si>
  <si>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</si>
  <si>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</si>
  <si>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</si>
  <si>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</si>
  <si>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</si>
  <si>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</si>
  <si>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</si>
  <si>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</si>
  <si>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</si>
  <si>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</si>
  <si>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</si>
  <si>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</si>
  <si>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</si>
  <si>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</si>
  <si>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</si>
  <si>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</si>
  <si>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</si>
  <si>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</si>
  <si>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</si>
  <si>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</si>
  <si>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</si>
  <si>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</si>
  <si>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</si>
  <si>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</si>
  <si>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</si>
  <si>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</si>
  <si>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</si>
  <si>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</si>
  <si>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</si>
  <si>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</si>
  <si>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</si>
  <si>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</si>
  <si>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</si>
  <si>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</si>
  <si>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</si>
  <si>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</si>
  <si>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</si>
  <si>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</si>
  <si>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</si>
  <si>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</si>
  <si>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</si>
  <si>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</si>
  <si>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</si>
  <si>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</si>
  <si>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</si>
  <si>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</si>
  <si>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</si>
  <si>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</si>
  <si>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</si>
  <si>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</si>
  <si>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</si>
  <si>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</si>
  <si>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</si>
  <si>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</si>
  <si>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</si>
  <si>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</si>
  <si>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</si>
  <si>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</si>
  <si>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</si>
  <si>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</si>
  <si>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</si>
  <si>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</si>
  <si>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</si>
  <si>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</si>
  <si>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</si>
  <si>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</si>
  <si>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</si>
  <si>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</si>
  <si>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</si>
  <si>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</si>
  <si>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</si>
  <si>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</si>
  <si>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</si>
  <si>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</si>
  <si>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</si>
  <si>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</si>
  <si>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</si>
  <si>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</si>
  <si>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</si>
  <si>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</si>
  <si>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</si>
  <si>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</si>
  <si>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</si>
  <si>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</si>
  <si>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</si>
  <si>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</si>
  <si>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</si>
  <si>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</si>
  <si>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</si>
  <si>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</si>
  <si>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</si>
  <si>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</si>
  <si>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</si>
  <si>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</si>
  <si>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</si>
  <si>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</si>
  <si>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</si>
  <si>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</si>
  <si>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</si>
  <si>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</si>
  <si>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</si>
  <si>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</si>
  <si>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</si>
  <si>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</si>
  <si>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</si>
  <si>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</si>
  <si>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</si>
  <si>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</si>
  <si>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</si>
  <si>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</si>
  <si>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</si>
  <si>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</si>
  <si>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</si>
  <si>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</si>
  <si>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</si>
  <si>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</si>
  <si>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</si>
  <si>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</si>
  <si>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Hinsdale SAU92</t>
  </si>
  <si>
    <t>08/05</t>
  </si>
  <si>
    <t>08/25</t>
  </si>
  <si>
    <t>HealthTrust 2014 medical surplus $140,813.70 net of employee share distributions.</t>
  </si>
  <si>
    <t>Tuition for Windham Reg Career Ctr. Bus provided by WRCC at no additional cost.</t>
  </si>
  <si>
    <t>Transportation cost for Extended Learning Opp'y. programs at various off-campus locations.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</si>
</sst>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4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255</v>
      </c>
      <c r="C2" s="21">
        <v>255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1530375.96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48337.38</v>
      </c>
      <c r="G12" s="18">
        <v>9977.48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8455.67</v>
      </c>
      <c r="H13" s="18">
        <v>66342.58</v>
      </c>
      <c r="I13" s="18"/>
      <c r="J13" s="67">
        <f>SUM(I442)</f>
        <v>362037.17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>
        <v>361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802.14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113550.49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1692263.8299999998</v>
      </c>
      <c r="G19" s="41">
        <f>SUM(G9:G18)</f>
        <v>19596.29</v>
      </c>
      <c r="H19" s="41">
        <f>SUM(H9:H18)</f>
        <v>66342.58</v>
      </c>
      <c r="I19" s="41">
        <f>SUM(I9:I18)</f>
        <v>0</v>
      </c>
      <c r="J19" s="41">
        <f>SUM(J9:J18)</f>
        <v>362037.17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58314.86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50980.08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101044.46</v>
      </c>
      <c r="G24" s="18">
        <v>10482.51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705657.23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350000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1207681.77</v>
      </c>
      <c r="G32" s="41">
        <f>SUM(G22:G31)</f>
        <v>10482.51</v>
      </c>
      <c r="H32" s="41">
        <f>SUM(H22:H31)</f>
        <v>58314.86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50000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9113.7800000000007</v>
      </c>
      <c r="H48" s="18">
        <v>8027.72</v>
      </c>
      <c r="I48" s="18"/>
      <c r="J48" s="13">
        <f>SUM(I459)</f>
        <v>362037.17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15115.08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419466.98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484582.06</v>
      </c>
      <c r="G51" s="41">
        <f>SUM(G35:G50)</f>
        <v>9113.7800000000007</v>
      </c>
      <c r="H51" s="41">
        <f>SUM(H35:H50)</f>
        <v>8027.72</v>
      </c>
      <c r="I51" s="41">
        <f>SUM(I35:I50)</f>
        <v>0</v>
      </c>
      <c r="J51" s="41">
        <f>SUM(J35:J50)</f>
        <v>362037.17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1692263.83</v>
      </c>
      <c r="G52" s="41">
        <f>G51+G32</f>
        <v>19596.29</v>
      </c>
      <c r="H52" s="41">
        <f>H51+H32</f>
        <v>66342.58</v>
      </c>
      <c r="I52" s="41">
        <f>I51+I32</f>
        <v>0</v>
      </c>
      <c r="J52" s="41">
        <f>J51+J32</f>
        <v>362037.17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4749513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4749513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7260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>
        <v>16355</v>
      </c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88204.22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>
        <v>19106</v>
      </c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111819.22</v>
      </c>
      <c r="G79" s="45" t="s">
        <v>289</v>
      </c>
      <c r="H79" s="41">
        <f>SUM(H63:H78)</f>
        <v>19106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/>
      <c r="H96" s="18"/>
      <c r="I96" s="18"/>
      <c r="J96" s="18">
        <v>21304.16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102976.85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5871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4500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121396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40159.160000000003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167426.16</v>
      </c>
      <c r="G111" s="41">
        <f>SUM(G96:G110)</f>
        <v>102976.85</v>
      </c>
      <c r="H111" s="41">
        <f>SUM(H96:H110)</f>
        <v>4500</v>
      </c>
      <c r="I111" s="41">
        <f>SUM(I96:I110)</f>
        <v>0</v>
      </c>
      <c r="J111" s="41">
        <f>SUM(J96:J110)</f>
        <v>21304.16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5028758.38</v>
      </c>
      <c r="G112" s="41">
        <f>G60+G111</f>
        <v>102976.85</v>
      </c>
      <c r="H112" s="41">
        <f>H60+H79+H94+H111</f>
        <v>23606</v>
      </c>
      <c r="I112" s="41">
        <f>I60+I111</f>
        <v>0</v>
      </c>
      <c r="J112" s="41">
        <f>J60+J111</f>
        <v>21304.16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4201953.21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578430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4780383.21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462802.6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85591.5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27322.91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12494.45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575717.01</v>
      </c>
      <c r="G136" s="41">
        <f>SUM(G123:G135)</f>
        <v>12494.45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5356100.22</v>
      </c>
      <c r="G140" s="41">
        <f>G121+SUM(G136:G137)</f>
        <v>12494.45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>
        <v>12371.69</v>
      </c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201529.42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173330.53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165162.64000000001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134497.70000000001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133723.78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133723.78</v>
      </c>
      <c r="G162" s="41">
        <f>SUM(G150:G161)</f>
        <v>165162.64000000001</v>
      </c>
      <c r="H162" s="41">
        <f>SUM(H150:H161)</f>
        <v>521729.34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133723.78</v>
      </c>
      <c r="G169" s="41">
        <f>G147+G162+SUM(G163:G168)</f>
        <v>165162.64000000001</v>
      </c>
      <c r="H169" s="41">
        <f>H147+H162+SUM(H163:H168)</f>
        <v>521729.34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150000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13921.84</v>
      </c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13921.84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150000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>
        <v>205352</v>
      </c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205352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13921.84</v>
      </c>
      <c r="G192" s="41">
        <f>G183+SUM(G188:G191)</f>
        <v>0</v>
      </c>
      <c r="H192" s="41">
        <f>+H183+SUM(H188:H191)</f>
        <v>0</v>
      </c>
      <c r="I192" s="41">
        <f>I177+I183+SUM(I188:I191)</f>
        <v>205352</v>
      </c>
      <c r="J192" s="41">
        <f>J183</f>
        <v>150000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10532504.219999999</v>
      </c>
      <c r="G193" s="47">
        <f>G112+G140+G169+G192</f>
        <v>280633.94</v>
      </c>
      <c r="H193" s="47">
        <f>H112+H140+H169+H192</f>
        <v>545335.34000000008</v>
      </c>
      <c r="I193" s="47">
        <f>I112+I140+I169+I192</f>
        <v>205352</v>
      </c>
      <c r="J193" s="47">
        <f>J112+J140+J192</f>
        <v>171304.16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919221.66</v>
      </c>
      <c r="G197" s="18">
        <v>496931.82</v>
      </c>
      <c r="H197" s="18">
        <v>2365</v>
      </c>
      <c r="I197" s="18">
        <v>43294.02</v>
      </c>
      <c r="J197" s="18"/>
      <c r="K197" s="18"/>
      <c r="L197" s="19">
        <f>SUM(F197:K197)</f>
        <v>1461812.5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472628.14</v>
      </c>
      <c r="G198" s="18">
        <v>131750.54999999999</v>
      </c>
      <c r="H198" s="18">
        <v>27750</v>
      </c>
      <c r="I198" s="18">
        <v>2768.14</v>
      </c>
      <c r="J198" s="18"/>
      <c r="K198" s="18"/>
      <c r="L198" s="19">
        <f>SUM(F198:K198)</f>
        <v>634896.82999999996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24224.27</v>
      </c>
      <c r="G200" s="18">
        <v>3868.81</v>
      </c>
      <c r="H200" s="18"/>
      <c r="I200" s="18"/>
      <c r="J200" s="18"/>
      <c r="K200" s="18"/>
      <c r="L200" s="19">
        <f>SUM(F200:K200)</f>
        <v>28093.08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235559.15</v>
      </c>
      <c r="G202" s="18">
        <v>124770.25</v>
      </c>
      <c r="H202" s="18">
        <v>42609.61</v>
      </c>
      <c r="I202" s="18">
        <v>11953.63</v>
      </c>
      <c r="J202" s="18"/>
      <c r="K202" s="18">
        <v>351.92</v>
      </c>
      <c r="L202" s="19">
        <f t="shared" ref="L202:L208" si="0">SUM(F202:K202)</f>
        <v>415244.56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27174.959999999999</v>
      </c>
      <c r="G203" s="18">
        <v>2914.55</v>
      </c>
      <c r="H203" s="18">
        <v>18289.7</v>
      </c>
      <c r="I203" s="18">
        <v>5797.69</v>
      </c>
      <c r="J203" s="18"/>
      <c r="K203" s="18">
        <v>1042.97</v>
      </c>
      <c r="L203" s="19">
        <f t="shared" si="0"/>
        <v>55219.87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238465.98</v>
      </c>
      <c r="G204" s="18">
        <v>116393.32</v>
      </c>
      <c r="H204" s="18">
        <v>27282.94</v>
      </c>
      <c r="I204" s="18">
        <v>17985.330000000002</v>
      </c>
      <c r="J204" s="18">
        <v>767.51</v>
      </c>
      <c r="K204" s="18">
        <v>5243.19</v>
      </c>
      <c r="L204" s="19">
        <f t="shared" si="0"/>
        <v>406138.27000000008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212896.1</v>
      </c>
      <c r="G205" s="18">
        <v>102174.49</v>
      </c>
      <c r="H205" s="18">
        <v>900.57</v>
      </c>
      <c r="I205" s="18">
        <v>5813.91</v>
      </c>
      <c r="J205" s="18"/>
      <c r="K205" s="18">
        <v>530</v>
      </c>
      <c r="L205" s="19">
        <f t="shared" si="0"/>
        <v>322315.07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153918.31</v>
      </c>
      <c r="G207" s="18">
        <v>91943.09</v>
      </c>
      <c r="H207" s="18">
        <v>169533.11</v>
      </c>
      <c r="I207" s="18">
        <v>167848.24</v>
      </c>
      <c r="J207" s="18">
        <v>16898.150000000001</v>
      </c>
      <c r="K207" s="18"/>
      <c r="L207" s="19">
        <f t="shared" si="0"/>
        <v>600140.9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107490.68</v>
      </c>
      <c r="I208" s="18"/>
      <c r="J208" s="18"/>
      <c r="K208" s="18"/>
      <c r="L208" s="19">
        <f t="shared" si="0"/>
        <v>107490.68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1200</v>
      </c>
      <c r="G209" s="18">
        <v>279.20999999999998</v>
      </c>
      <c r="H209" s="18">
        <v>40933.06</v>
      </c>
      <c r="I209" s="18">
        <v>16156.62</v>
      </c>
      <c r="J209" s="18">
        <v>49940.75</v>
      </c>
      <c r="K209" s="18"/>
      <c r="L209" s="19">
        <f>SUM(F209:K209)</f>
        <v>108509.64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2285288.5699999998</v>
      </c>
      <c r="G211" s="41">
        <f t="shared" si="1"/>
        <v>1071026.0900000001</v>
      </c>
      <c r="H211" s="41">
        <f t="shared" si="1"/>
        <v>437154.67</v>
      </c>
      <c r="I211" s="41">
        <f t="shared" si="1"/>
        <v>271617.58</v>
      </c>
      <c r="J211" s="41">
        <f t="shared" si="1"/>
        <v>67606.41</v>
      </c>
      <c r="K211" s="41">
        <f t="shared" si="1"/>
        <v>7168.08</v>
      </c>
      <c r="L211" s="41">
        <f t="shared" si="1"/>
        <v>4139861.4000000004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537083.17000000004</v>
      </c>
      <c r="G215" s="18">
        <v>279021.21000000002</v>
      </c>
      <c r="H215" s="18">
        <v>7014.47</v>
      </c>
      <c r="I215" s="18">
        <v>35800.99</v>
      </c>
      <c r="J215" s="18"/>
      <c r="K215" s="18"/>
      <c r="L215" s="19">
        <f>SUM(F215:K215)</f>
        <v>858919.84000000008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183307.63</v>
      </c>
      <c r="G216" s="18">
        <v>45336.54</v>
      </c>
      <c r="H216" s="18">
        <v>71369</v>
      </c>
      <c r="I216" s="18"/>
      <c r="J216" s="18"/>
      <c r="K216" s="18"/>
      <c r="L216" s="19">
        <f>SUM(F216:K216)</f>
        <v>300013.17000000004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14389.53</v>
      </c>
      <c r="G218" s="18">
        <v>2065.27</v>
      </c>
      <c r="H218" s="18"/>
      <c r="I218" s="18"/>
      <c r="J218" s="18"/>
      <c r="K218" s="18"/>
      <c r="L218" s="19">
        <f>SUM(F218:K218)</f>
        <v>16454.8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143987.81</v>
      </c>
      <c r="G220" s="18">
        <v>78481.490000000005</v>
      </c>
      <c r="H220" s="18">
        <v>20946.57</v>
      </c>
      <c r="I220" s="18">
        <v>4395.6099999999997</v>
      </c>
      <c r="J220" s="18"/>
      <c r="K220" s="18">
        <v>176.67</v>
      </c>
      <c r="L220" s="19">
        <f t="shared" ref="L220:L226" si="2">SUM(F220:K220)</f>
        <v>247988.15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16339.63</v>
      </c>
      <c r="G221" s="18">
        <v>3805.15</v>
      </c>
      <c r="H221" s="18">
        <v>9306.08</v>
      </c>
      <c r="I221" s="18">
        <v>6752.66</v>
      </c>
      <c r="J221" s="18"/>
      <c r="K221" s="18">
        <v>428.73</v>
      </c>
      <c r="L221" s="19">
        <f t="shared" si="2"/>
        <v>36632.250000000007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98025.54</v>
      </c>
      <c r="G222" s="18">
        <v>47845.48</v>
      </c>
      <c r="H222" s="18">
        <v>11215.12</v>
      </c>
      <c r="I222" s="18">
        <v>7393.18</v>
      </c>
      <c r="J222" s="18">
        <v>315.5</v>
      </c>
      <c r="K222" s="18">
        <v>2155.3000000000002</v>
      </c>
      <c r="L222" s="19">
        <f t="shared" si="2"/>
        <v>166950.11999999997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153407</v>
      </c>
      <c r="G223" s="18">
        <v>55835.12</v>
      </c>
      <c r="H223" s="18">
        <v>3908.61</v>
      </c>
      <c r="I223" s="18">
        <v>524.71</v>
      </c>
      <c r="J223" s="18"/>
      <c r="K223" s="18"/>
      <c r="L223" s="19">
        <f t="shared" si="2"/>
        <v>213675.43999999997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63270.77</v>
      </c>
      <c r="G225" s="18">
        <v>37794.79</v>
      </c>
      <c r="H225" s="18">
        <v>69689.5</v>
      </c>
      <c r="I225" s="18">
        <v>68996.899999999994</v>
      </c>
      <c r="J225" s="18">
        <v>6946.28</v>
      </c>
      <c r="K225" s="18"/>
      <c r="L225" s="19">
        <f t="shared" si="2"/>
        <v>246698.23999999999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54285.760000000002</v>
      </c>
      <c r="I226" s="18"/>
      <c r="J226" s="18"/>
      <c r="K226" s="18"/>
      <c r="L226" s="19">
        <f t="shared" si="2"/>
        <v>54285.760000000002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>
        <v>16826.240000000002</v>
      </c>
      <c r="I227" s="18">
        <v>6641.46</v>
      </c>
      <c r="J227" s="18">
        <v>20529</v>
      </c>
      <c r="K227" s="18"/>
      <c r="L227" s="19">
        <f>SUM(F227:K227)</f>
        <v>43996.7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1209811.08</v>
      </c>
      <c r="G229" s="41">
        <f>SUM(G215:G228)</f>
        <v>550185.05000000005</v>
      </c>
      <c r="H229" s="41">
        <f>SUM(H215:H228)</f>
        <v>264561.35000000003</v>
      </c>
      <c r="I229" s="41">
        <f>SUM(I215:I228)</f>
        <v>130505.51</v>
      </c>
      <c r="J229" s="41">
        <f>SUM(J215:J228)</f>
        <v>27790.78</v>
      </c>
      <c r="K229" s="41">
        <f t="shared" si="3"/>
        <v>2760.7000000000003</v>
      </c>
      <c r="L229" s="41">
        <f t="shared" si="3"/>
        <v>2185614.4700000002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738648.82</v>
      </c>
      <c r="G233" s="18">
        <v>383737</v>
      </c>
      <c r="H233" s="18">
        <v>9646.9699999999993</v>
      </c>
      <c r="I233" s="18">
        <v>65435.6</v>
      </c>
      <c r="J233" s="18"/>
      <c r="K233" s="18">
        <v>2325</v>
      </c>
      <c r="L233" s="19">
        <f>SUM(F233:K233)</f>
        <v>1199793.3899999999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252102.42</v>
      </c>
      <c r="G234" s="18">
        <v>62351.21</v>
      </c>
      <c r="H234" s="18">
        <v>324420.62</v>
      </c>
      <c r="I234" s="18">
        <v>342.67</v>
      </c>
      <c r="J234" s="18"/>
      <c r="K234" s="18"/>
      <c r="L234" s="19">
        <f>SUM(F234:K234)</f>
        <v>639216.92000000004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14520</v>
      </c>
      <c r="G235" s="18">
        <v>1110.81</v>
      </c>
      <c r="H235" s="18">
        <v>35440.26</v>
      </c>
      <c r="I235" s="18">
        <v>40</v>
      </c>
      <c r="J235" s="18"/>
      <c r="K235" s="18"/>
      <c r="L235" s="19">
        <f>SUM(F235:K235)</f>
        <v>51111.07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66190.78</v>
      </c>
      <c r="G236" s="18">
        <v>9193.0300000000007</v>
      </c>
      <c r="H236" s="18">
        <v>28979.41</v>
      </c>
      <c r="I236" s="18">
        <v>29321.68</v>
      </c>
      <c r="J236" s="18"/>
      <c r="K236" s="18">
        <v>1894.1</v>
      </c>
      <c r="L236" s="19">
        <f>SUM(F236:K236)</f>
        <v>135579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198014.12</v>
      </c>
      <c r="G238" s="18">
        <v>107928.78</v>
      </c>
      <c r="H238" s="18">
        <v>28802.54</v>
      </c>
      <c r="I238" s="18">
        <v>6044.98</v>
      </c>
      <c r="J238" s="18"/>
      <c r="K238" s="18">
        <v>246.91</v>
      </c>
      <c r="L238" s="19">
        <f t="shared" ref="L238:L244" si="4">SUM(F238:K238)</f>
        <v>341037.32999999996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22471.17</v>
      </c>
      <c r="G239" s="18">
        <v>5233.05</v>
      </c>
      <c r="H239" s="18">
        <v>12796.4</v>
      </c>
      <c r="I239" s="18">
        <v>9286.64</v>
      </c>
      <c r="J239" s="18"/>
      <c r="K239" s="18">
        <v>589.51</v>
      </c>
      <c r="L239" s="19">
        <f t="shared" si="4"/>
        <v>50376.77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134785.13</v>
      </c>
      <c r="G240" s="18">
        <v>65787.53</v>
      </c>
      <c r="H240" s="18">
        <v>15420.8</v>
      </c>
      <c r="I240" s="18">
        <v>10165.629999999999</v>
      </c>
      <c r="J240" s="18">
        <v>433.81</v>
      </c>
      <c r="K240" s="18">
        <v>2963.54</v>
      </c>
      <c r="L240" s="19">
        <f t="shared" si="4"/>
        <v>229556.44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210980.17</v>
      </c>
      <c r="G241" s="18">
        <v>76789.86</v>
      </c>
      <c r="H241" s="18">
        <v>5375.49</v>
      </c>
      <c r="I241" s="18">
        <v>721.63</v>
      </c>
      <c r="J241" s="18"/>
      <c r="K241" s="18">
        <v>3883</v>
      </c>
      <c r="L241" s="19">
        <f t="shared" si="4"/>
        <v>297750.15000000002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86997.31</v>
      </c>
      <c r="G243" s="18">
        <v>51967.839999999997</v>
      </c>
      <c r="H243" s="18">
        <v>95823.06</v>
      </c>
      <c r="I243" s="18">
        <v>94870.74</v>
      </c>
      <c r="J243" s="18">
        <v>9551.1299999999992</v>
      </c>
      <c r="K243" s="18"/>
      <c r="L243" s="19">
        <f t="shared" si="4"/>
        <v>339210.08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196188.98</v>
      </c>
      <c r="I244" s="18"/>
      <c r="J244" s="18">
        <v>21200</v>
      </c>
      <c r="K244" s="18"/>
      <c r="L244" s="19">
        <f t="shared" si="4"/>
        <v>217388.98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>
        <v>23136.080000000002</v>
      </c>
      <c r="I245" s="18">
        <v>9132</v>
      </c>
      <c r="J245" s="18">
        <v>28227.38</v>
      </c>
      <c r="K245" s="18"/>
      <c r="L245" s="19">
        <f>SUM(F245:K245)</f>
        <v>60495.460000000006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1724709.92</v>
      </c>
      <c r="G247" s="41">
        <f t="shared" si="5"/>
        <v>764099.1100000001</v>
      </c>
      <c r="H247" s="41">
        <f t="shared" si="5"/>
        <v>776030.60999999987</v>
      </c>
      <c r="I247" s="41">
        <f t="shared" si="5"/>
        <v>225361.57</v>
      </c>
      <c r="J247" s="41">
        <f t="shared" si="5"/>
        <v>59412.32</v>
      </c>
      <c r="K247" s="41">
        <f t="shared" si="5"/>
        <v>11902.060000000001</v>
      </c>
      <c r="L247" s="41">
        <f t="shared" si="5"/>
        <v>3561515.59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5219809.57</v>
      </c>
      <c r="G257" s="41">
        <f t="shared" si="8"/>
        <v>2385310.25</v>
      </c>
      <c r="H257" s="41">
        <f t="shared" si="8"/>
        <v>1477746.63</v>
      </c>
      <c r="I257" s="41">
        <f t="shared" si="8"/>
        <v>627484.66</v>
      </c>
      <c r="J257" s="41">
        <f t="shared" si="8"/>
        <v>154809.51</v>
      </c>
      <c r="K257" s="41">
        <f t="shared" si="8"/>
        <v>21830.840000000004</v>
      </c>
      <c r="L257" s="41">
        <f t="shared" si="8"/>
        <v>9886991.4600000009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650000</v>
      </c>
      <c r="L260" s="19">
        <f>SUM(F260:K260)</f>
        <v>650000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290473.5</v>
      </c>
      <c r="L261" s="19">
        <f>SUM(F261:K261)</f>
        <v>290473.5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150000</v>
      </c>
      <c r="L266" s="19">
        <f t="shared" si="9"/>
        <v>150000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1090473.5</v>
      </c>
      <c r="L270" s="41">
        <f t="shared" si="9"/>
        <v>1090473.5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5219809.57</v>
      </c>
      <c r="G271" s="42">
        <f t="shared" si="11"/>
        <v>2385310.25</v>
      </c>
      <c r="H271" s="42">
        <f t="shared" si="11"/>
        <v>1477746.63</v>
      </c>
      <c r="I271" s="42">
        <f t="shared" si="11"/>
        <v>627484.66</v>
      </c>
      <c r="J271" s="42">
        <f t="shared" si="11"/>
        <v>154809.51</v>
      </c>
      <c r="K271" s="42">
        <f t="shared" si="11"/>
        <v>1112304.3400000001</v>
      </c>
      <c r="L271" s="42">
        <f t="shared" si="11"/>
        <v>10977464.960000001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141821.88</v>
      </c>
      <c r="G276" s="18">
        <v>18377.560000000001</v>
      </c>
      <c r="H276" s="18">
        <v>862.4</v>
      </c>
      <c r="I276" s="18">
        <v>9366.73</v>
      </c>
      <c r="J276" s="18">
        <v>2445.9899999999998</v>
      </c>
      <c r="K276" s="18">
        <v>2425.7199999999998</v>
      </c>
      <c r="L276" s="19">
        <f>SUM(F276:K276)</f>
        <v>175300.28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44430.63</v>
      </c>
      <c r="G277" s="18">
        <v>17844.599999999999</v>
      </c>
      <c r="H277" s="18"/>
      <c r="I277" s="18">
        <v>7222.59</v>
      </c>
      <c r="J277" s="18"/>
      <c r="K277" s="18"/>
      <c r="L277" s="19">
        <f>SUM(F277:K277)</f>
        <v>69497.819999999992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66920.58</v>
      </c>
      <c r="G282" s="18">
        <v>17895.07</v>
      </c>
      <c r="H282" s="18">
        <v>20065</v>
      </c>
      <c r="I282" s="18">
        <v>11274.24</v>
      </c>
      <c r="J282" s="18"/>
      <c r="K282" s="18">
        <v>750</v>
      </c>
      <c r="L282" s="19">
        <f t="shared" si="12"/>
        <v>116904.89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253173.09000000003</v>
      </c>
      <c r="G290" s="42">
        <f t="shared" si="13"/>
        <v>54117.23</v>
      </c>
      <c r="H290" s="42">
        <f t="shared" si="13"/>
        <v>20927.400000000001</v>
      </c>
      <c r="I290" s="42">
        <f t="shared" si="13"/>
        <v>27863.559999999998</v>
      </c>
      <c r="J290" s="42">
        <f t="shared" si="13"/>
        <v>2445.9899999999998</v>
      </c>
      <c r="K290" s="42">
        <f t="shared" si="13"/>
        <v>3175.72</v>
      </c>
      <c r="L290" s="41">
        <f t="shared" si="13"/>
        <v>361702.99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49688.639999999999</v>
      </c>
      <c r="G295" s="18">
        <v>6125.85</v>
      </c>
      <c r="H295" s="18">
        <v>287.47000000000003</v>
      </c>
      <c r="I295" s="18">
        <v>3122.24</v>
      </c>
      <c r="J295" s="18"/>
      <c r="K295" s="18"/>
      <c r="L295" s="19">
        <f>SUM(F295:K295)</f>
        <v>59224.2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18263.97</v>
      </c>
      <c r="G296" s="18">
        <v>7335.33</v>
      </c>
      <c r="H296" s="18"/>
      <c r="I296" s="18">
        <v>2407.5300000000002</v>
      </c>
      <c r="J296" s="18"/>
      <c r="K296" s="18"/>
      <c r="L296" s="19">
        <f>SUM(F296:K296)</f>
        <v>28006.83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22306.86</v>
      </c>
      <c r="G301" s="18">
        <v>5965.02</v>
      </c>
      <c r="H301" s="18">
        <v>6688.34</v>
      </c>
      <c r="I301" s="18">
        <v>3758.08</v>
      </c>
      <c r="J301" s="18"/>
      <c r="K301" s="18">
        <v>250</v>
      </c>
      <c r="L301" s="19">
        <f t="shared" si="14"/>
        <v>38968.300000000003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90259.47</v>
      </c>
      <c r="G309" s="42">
        <f t="shared" si="15"/>
        <v>19426.2</v>
      </c>
      <c r="H309" s="42">
        <f t="shared" si="15"/>
        <v>6975.81</v>
      </c>
      <c r="I309" s="42">
        <f t="shared" si="15"/>
        <v>9287.85</v>
      </c>
      <c r="J309" s="42">
        <f t="shared" si="15"/>
        <v>0</v>
      </c>
      <c r="K309" s="42">
        <f t="shared" si="15"/>
        <v>250</v>
      </c>
      <c r="L309" s="41">
        <f t="shared" si="15"/>
        <v>126199.33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25112.97</v>
      </c>
      <c r="G315" s="18">
        <v>10086.08</v>
      </c>
      <c r="H315" s="18"/>
      <c r="I315" s="18"/>
      <c r="J315" s="18"/>
      <c r="K315" s="18"/>
      <c r="L315" s="19">
        <f>SUM(F315:K315)</f>
        <v>35199.050000000003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>
        <v>4000</v>
      </c>
      <c r="L319" s="19">
        <f t="shared" ref="L319:L325" si="16">SUM(F319:K319)</f>
        <v>4000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25112.97</v>
      </c>
      <c r="G328" s="42">
        <f t="shared" si="17"/>
        <v>10086.08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4000</v>
      </c>
      <c r="L328" s="41">
        <f t="shared" si="17"/>
        <v>39199.050000000003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368545.53</v>
      </c>
      <c r="G338" s="41">
        <f t="shared" si="20"/>
        <v>83629.510000000009</v>
      </c>
      <c r="H338" s="41">
        <f t="shared" si="20"/>
        <v>27903.210000000003</v>
      </c>
      <c r="I338" s="41">
        <f t="shared" si="20"/>
        <v>37151.409999999996</v>
      </c>
      <c r="J338" s="41">
        <f t="shared" si="20"/>
        <v>2445.9899999999998</v>
      </c>
      <c r="K338" s="41">
        <f t="shared" si="20"/>
        <v>7425.7199999999993</v>
      </c>
      <c r="L338" s="41">
        <f t="shared" si="20"/>
        <v>527101.37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13921.84</v>
      </c>
      <c r="L344" s="19">
        <f t="shared" ref="L344:L350" si="21">SUM(F344:K344)</f>
        <v>13921.84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13921.84</v>
      </c>
      <c r="L351" s="41">
        <f>SUM(L341:L350)</f>
        <v>13921.84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368545.53</v>
      </c>
      <c r="G352" s="41">
        <f>G338</f>
        <v>83629.510000000009</v>
      </c>
      <c r="H352" s="41">
        <f>H338</f>
        <v>27903.210000000003</v>
      </c>
      <c r="I352" s="41">
        <f>I338</f>
        <v>37151.409999999996</v>
      </c>
      <c r="J352" s="41">
        <f>J338</f>
        <v>2445.9899999999998</v>
      </c>
      <c r="K352" s="47">
        <f>K338+K351</f>
        <v>21347.559999999998</v>
      </c>
      <c r="L352" s="41">
        <f>L338+L351</f>
        <v>541023.21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139335.23000000001</v>
      </c>
      <c r="I358" s="18"/>
      <c r="J358" s="18"/>
      <c r="K358" s="18"/>
      <c r="L358" s="13">
        <f>SUM(F358:K358)</f>
        <v>139335.23000000001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>
        <v>57276.14</v>
      </c>
      <c r="I359" s="18"/>
      <c r="J359" s="18"/>
      <c r="K359" s="18"/>
      <c r="L359" s="19">
        <f>SUM(F359:K359)</f>
        <v>57276.14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>
        <v>78754.69</v>
      </c>
      <c r="I360" s="18"/>
      <c r="J360" s="18"/>
      <c r="K360" s="18"/>
      <c r="L360" s="19">
        <f>SUM(F360:K360)</f>
        <v>78754.69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275366.06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275366.06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>
        <v>205352</v>
      </c>
      <c r="K379" s="18"/>
      <c r="L379" s="13">
        <f t="shared" si="23"/>
        <v>205352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205352</v>
      </c>
      <c r="K382" s="47">
        <f t="shared" si="24"/>
        <v>0</v>
      </c>
      <c r="L382" s="47">
        <f t="shared" si="24"/>
        <v>205352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>
        <v>18.22</v>
      </c>
      <c r="I389" s="18"/>
      <c r="J389" s="24" t="s">
        <v>289</v>
      </c>
      <c r="K389" s="24" t="s">
        <v>289</v>
      </c>
      <c r="L389" s="56">
        <f t="shared" si="25"/>
        <v>18.22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18.22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18.22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150000</v>
      </c>
      <c r="H396" s="18">
        <v>6615.64</v>
      </c>
      <c r="I396" s="18"/>
      <c r="J396" s="24" t="s">
        <v>289</v>
      </c>
      <c r="K396" s="24" t="s">
        <v>289</v>
      </c>
      <c r="L396" s="56">
        <f t="shared" si="26"/>
        <v>156615.64000000001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14670.3</v>
      </c>
      <c r="I397" s="18"/>
      <c r="J397" s="24" t="s">
        <v>289</v>
      </c>
      <c r="K397" s="24" t="s">
        <v>289</v>
      </c>
      <c r="L397" s="56">
        <f t="shared" si="26"/>
        <v>14670.3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150000</v>
      </c>
      <c r="H401" s="47">
        <f>SUM(H395:H400)</f>
        <v>21285.94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171285.94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150000</v>
      </c>
      <c r="H408" s="47">
        <f>H393+H401+H407</f>
        <v>21304.16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171304.16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>
        <v>205352</v>
      </c>
      <c r="L422" s="56">
        <f t="shared" si="29"/>
        <v>205352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205352</v>
      </c>
      <c r="L427" s="47">
        <f t="shared" si="30"/>
        <v>205352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205352</v>
      </c>
      <c r="L434" s="47">
        <f t="shared" si="32"/>
        <v>205352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32564.36</v>
      </c>
      <c r="G442" s="18">
        <v>329472.81</v>
      </c>
      <c r="H442" s="18"/>
      <c r="I442" s="56">
        <f t="shared" si="33"/>
        <v>362037.17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32564.36</v>
      </c>
      <c r="G446" s="13">
        <f>SUM(G439:G445)</f>
        <v>329472.81</v>
      </c>
      <c r="H446" s="13">
        <f>SUM(H439:H445)</f>
        <v>0</v>
      </c>
      <c r="I446" s="13">
        <f>SUM(I439:I445)</f>
        <v>362037.17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32564.36</v>
      </c>
      <c r="G459" s="18">
        <v>329472.81</v>
      </c>
      <c r="H459" s="18"/>
      <c r="I459" s="56">
        <f t="shared" si="34"/>
        <v>362037.17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32564.36</v>
      </c>
      <c r="G460" s="83">
        <f>SUM(G454:G459)</f>
        <v>329472.81</v>
      </c>
      <c r="H460" s="83">
        <f>SUM(H454:H459)</f>
        <v>0</v>
      </c>
      <c r="I460" s="83">
        <f>SUM(I454:I459)</f>
        <v>362037.17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32564.36</v>
      </c>
      <c r="G461" s="42">
        <f>G452+G460</f>
        <v>329472.81</v>
      </c>
      <c r="H461" s="42">
        <f>H452+H460</f>
        <v>0</v>
      </c>
      <c r="I461" s="42">
        <f>I452+I460</f>
        <v>362037.17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929542.8</v>
      </c>
      <c r="G465" s="18">
        <v>3845.9</v>
      </c>
      <c r="H465" s="18">
        <v>3715.59</v>
      </c>
      <c r="I465" s="18">
        <v>0</v>
      </c>
      <c r="J465" s="18">
        <v>396085.01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10532504.220000001</v>
      </c>
      <c r="G468" s="18">
        <v>280633.94</v>
      </c>
      <c r="H468" s="18">
        <v>545335.34</v>
      </c>
      <c r="I468" s="18">
        <v>205352</v>
      </c>
      <c r="J468" s="18">
        <v>171304.16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10532504.220000001</v>
      </c>
      <c r="G470" s="53">
        <f>SUM(G468:G469)</f>
        <v>280633.94</v>
      </c>
      <c r="H470" s="53">
        <f>SUM(H468:H469)</f>
        <v>545335.34</v>
      </c>
      <c r="I470" s="53">
        <f>SUM(I468:I469)</f>
        <v>205352</v>
      </c>
      <c r="J470" s="53">
        <f>SUM(J468:J469)</f>
        <v>171304.16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10977464.960000001</v>
      </c>
      <c r="G472" s="18">
        <v>275366.06</v>
      </c>
      <c r="H472" s="18">
        <v>541023.21</v>
      </c>
      <c r="I472" s="18">
        <v>205352</v>
      </c>
      <c r="J472" s="18">
        <v>205352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10977464.960000001</v>
      </c>
      <c r="G474" s="53">
        <f>SUM(G472:G473)</f>
        <v>275366.06</v>
      </c>
      <c r="H474" s="53">
        <f>SUM(H472:H473)</f>
        <v>541023.21</v>
      </c>
      <c r="I474" s="53">
        <f>SUM(I472:I473)</f>
        <v>205352</v>
      </c>
      <c r="J474" s="53">
        <f>SUM(J472:J473)</f>
        <v>205352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484582.06000000052</v>
      </c>
      <c r="G476" s="53">
        <f>(G465+G470)- G474</f>
        <v>9113.7800000000279</v>
      </c>
      <c r="H476" s="53">
        <f>(H465+H470)- H474</f>
        <v>8027.7199999999721</v>
      </c>
      <c r="I476" s="53">
        <f>(I465+I470)- I474</f>
        <v>0</v>
      </c>
      <c r="J476" s="53">
        <f>(J465+J470)- J474</f>
        <v>362037.17000000004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913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914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13032960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4.04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7150000</v>
      </c>
      <c r="G495" s="18"/>
      <c r="H495" s="18"/>
      <c r="I495" s="18"/>
      <c r="J495" s="18"/>
      <c r="K495" s="53">
        <f>SUM(F495:J495)</f>
        <v>7150000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650000</v>
      </c>
      <c r="G497" s="18"/>
      <c r="H497" s="18"/>
      <c r="I497" s="18"/>
      <c r="J497" s="18"/>
      <c r="K497" s="53">
        <f t="shared" si="35"/>
        <v>650000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6500000</v>
      </c>
      <c r="G498" s="204"/>
      <c r="H498" s="204"/>
      <c r="I498" s="204"/>
      <c r="J498" s="204"/>
      <c r="K498" s="205">
        <f t="shared" si="35"/>
        <v>6500000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1109373.25</v>
      </c>
      <c r="G499" s="18"/>
      <c r="H499" s="18"/>
      <c r="I499" s="18"/>
      <c r="J499" s="18"/>
      <c r="K499" s="53">
        <f t="shared" si="35"/>
        <v>1109373.25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7609373.25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7609373.25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650000</v>
      </c>
      <c r="G501" s="204"/>
      <c r="H501" s="204"/>
      <c r="I501" s="204"/>
      <c r="J501" s="204"/>
      <c r="K501" s="205">
        <f t="shared" si="35"/>
        <v>650000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257973.5</v>
      </c>
      <c r="G502" s="18"/>
      <c r="H502" s="18"/>
      <c r="I502" s="18"/>
      <c r="J502" s="18"/>
      <c r="K502" s="53">
        <f t="shared" si="35"/>
        <v>257973.5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907973.5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907973.5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500634.25</v>
      </c>
      <c r="G521" s="18">
        <v>138750.69</v>
      </c>
      <c r="H521" s="18">
        <v>27750</v>
      </c>
      <c r="I521" s="18">
        <v>6446.91</v>
      </c>
      <c r="J521" s="18"/>
      <c r="K521" s="18"/>
      <c r="L521" s="88">
        <f>SUM(F521:K521)</f>
        <v>673581.85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205794.32</v>
      </c>
      <c r="G522" s="18">
        <v>57035.85</v>
      </c>
      <c r="H522" s="18">
        <v>71369</v>
      </c>
      <c r="I522" s="18">
        <v>2650.11</v>
      </c>
      <c r="J522" s="18"/>
      <c r="K522" s="18"/>
      <c r="L522" s="88">
        <f>SUM(F522:K522)</f>
        <v>336849.27999999997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282967.18</v>
      </c>
      <c r="G523" s="18">
        <v>78424.3</v>
      </c>
      <c r="H523" s="18">
        <v>304318.49</v>
      </c>
      <c r="I523" s="18">
        <v>3643.91</v>
      </c>
      <c r="J523" s="18"/>
      <c r="K523" s="18"/>
      <c r="L523" s="88">
        <f>SUM(F523:K523)</f>
        <v>669353.88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989395.75</v>
      </c>
      <c r="G524" s="108">
        <f t="shared" ref="G524:L524" si="36">SUM(G521:G523)</f>
        <v>274210.84000000003</v>
      </c>
      <c r="H524" s="108">
        <f t="shared" si="36"/>
        <v>403437.49</v>
      </c>
      <c r="I524" s="108">
        <f t="shared" si="36"/>
        <v>12740.93</v>
      </c>
      <c r="J524" s="108">
        <f t="shared" si="36"/>
        <v>0</v>
      </c>
      <c r="K524" s="108">
        <f t="shared" si="36"/>
        <v>0</v>
      </c>
      <c r="L524" s="89">
        <f t="shared" si="36"/>
        <v>1679785.0099999998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97405.15</v>
      </c>
      <c r="G526" s="18">
        <v>53895.39</v>
      </c>
      <c r="H526" s="18">
        <v>52613.25</v>
      </c>
      <c r="I526" s="18">
        <v>2393.5700000000002</v>
      </c>
      <c r="J526" s="18"/>
      <c r="K526" s="18">
        <v>351.92</v>
      </c>
      <c r="L526" s="88">
        <f>SUM(F526:K526)</f>
        <v>206659.28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40040.06</v>
      </c>
      <c r="G527" s="18">
        <v>22154.62</v>
      </c>
      <c r="H527" s="18">
        <v>21627.58</v>
      </c>
      <c r="I527" s="18">
        <v>983.92</v>
      </c>
      <c r="J527" s="18"/>
      <c r="K527" s="18">
        <v>144.66</v>
      </c>
      <c r="L527" s="88">
        <f>SUM(F527:K527)</f>
        <v>84950.84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55055.09</v>
      </c>
      <c r="G528" s="18">
        <v>30462.61</v>
      </c>
      <c r="H528" s="18">
        <v>29737.919999999998</v>
      </c>
      <c r="I528" s="18">
        <v>1352.88</v>
      </c>
      <c r="J528" s="18"/>
      <c r="K528" s="18">
        <v>198.92</v>
      </c>
      <c r="L528" s="88">
        <f>SUM(F528:K528)</f>
        <v>116807.42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192500.3</v>
      </c>
      <c r="G529" s="89">
        <f t="shared" ref="G529:L529" si="37">SUM(G526:G528)</f>
        <v>106512.62</v>
      </c>
      <c r="H529" s="89">
        <f t="shared" si="37"/>
        <v>103978.75</v>
      </c>
      <c r="I529" s="89">
        <f t="shared" si="37"/>
        <v>4730.3700000000008</v>
      </c>
      <c r="J529" s="89">
        <f t="shared" si="37"/>
        <v>0</v>
      </c>
      <c r="K529" s="89">
        <f t="shared" si="37"/>
        <v>695.5</v>
      </c>
      <c r="L529" s="89">
        <f t="shared" si="37"/>
        <v>408417.54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80753.8</v>
      </c>
      <c r="G531" s="18">
        <v>33439.61</v>
      </c>
      <c r="H531" s="18">
        <v>894.76</v>
      </c>
      <c r="I531" s="18">
        <v>737.24</v>
      </c>
      <c r="J531" s="18"/>
      <c r="K531" s="18">
        <v>732.18</v>
      </c>
      <c r="L531" s="88">
        <f>SUM(F531:K531)</f>
        <v>116557.59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33195.24</v>
      </c>
      <c r="G532" s="18">
        <v>13745.93</v>
      </c>
      <c r="H532" s="18">
        <v>367.81</v>
      </c>
      <c r="I532" s="18">
        <v>303.06</v>
      </c>
      <c r="J532" s="18"/>
      <c r="K532" s="18">
        <v>300.98</v>
      </c>
      <c r="L532" s="88">
        <f>SUM(F532:K532)</f>
        <v>47913.02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45643.46</v>
      </c>
      <c r="G533" s="18">
        <v>18900.650000000001</v>
      </c>
      <c r="H533" s="18">
        <v>505.73</v>
      </c>
      <c r="I533" s="18">
        <v>416.7</v>
      </c>
      <c r="J533" s="18"/>
      <c r="K533" s="18">
        <v>413.84</v>
      </c>
      <c r="L533" s="88">
        <f>SUM(F533:K533)</f>
        <v>65880.38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159592.5</v>
      </c>
      <c r="G534" s="89">
        <f t="shared" ref="G534:L534" si="38">SUM(G531:G533)</f>
        <v>66086.19</v>
      </c>
      <c r="H534" s="89">
        <f t="shared" si="38"/>
        <v>1768.3</v>
      </c>
      <c r="I534" s="89">
        <f t="shared" si="38"/>
        <v>1457</v>
      </c>
      <c r="J534" s="89">
        <f t="shared" si="38"/>
        <v>0</v>
      </c>
      <c r="K534" s="89">
        <f t="shared" si="38"/>
        <v>1446.9999999999998</v>
      </c>
      <c r="L534" s="89">
        <f t="shared" si="38"/>
        <v>230350.99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332.1</v>
      </c>
      <c r="I538" s="18"/>
      <c r="J538" s="18"/>
      <c r="K538" s="18"/>
      <c r="L538" s="88">
        <f>SUM(F538:K538)</f>
        <v>332.1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332.1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332.1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10302.58</v>
      </c>
      <c r="I541" s="18"/>
      <c r="J541" s="18"/>
      <c r="K541" s="18"/>
      <c r="L541" s="88">
        <f>SUM(F541:K541)</f>
        <v>10302.58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10302.58</v>
      </c>
      <c r="I542" s="18"/>
      <c r="J542" s="18"/>
      <c r="K542" s="18"/>
      <c r="L542" s="88">
        <f>SUM(F542:K542)</f>
        <v>10302.58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93868.05</v>
      </c>
      <c r="I543" s="18"/>
      <c r="J543" s="18"/>
      <c r="K543" s="18"/>
      <c r="L543" s="88">
        <f>SUM(F543:K543)</f>
        <v>93868.05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114473.21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114473.21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1341488.55</v>
      </c>
      <c r="G545" s="89">
        <f t="shared" ref="G545:L545" si="41">G524+G529+G534+G539+G544</f>
        <v>446809.65</v>
      </c>
      <c r="H545" s="89">
        <f t="shared" si="41"/>
        <v>623989.85</v>
      </c>
      <c r="I545" s="89">
        <f t="shared" si="41"/>
        <v>18928.300000000003</v>
      </c>
      <c r="J545" s="89">
        <f t="shared" si="41"/>
        <v>0</v>
      </c>
      <c r="K545" s="89">
        <f t="shared" si="41"/>
        <v>2142.5</v>
      </c>
      <c r="L545" s="89">
        <f t="shared" si="41"/>
        <v>2433358.85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673581.85</v>
      </c>
      <c r="G549" s="87">
        <f>L526</f>
        <v>206659.28</v>
      </c>
      <c r="H549" s="87">
        <f>L531</f>
        <v>116557.59</v>
      </c>
      <c r="I549" s="87">
        <f>L536</f>
        <v>0</v>
      </c>
      <c r="J549" s="87">
        <f>L541</f>
        <v>10302.58</v>
      </c>
      <c r="K549" s="87">
        <f>SUM(F549:J549)</f>
        <v>1007101.2999999999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336849.27999999997</v>
      </c>
      <c r="G550" s="87">
        <f>L527</f>
        <v>84950.84</v>
      </c>
      <c r="H550" s="87">
        <f>L532</f>
        <v>47913.02</v>
      </c>
      <c r="I550" s="87">
        <f>L537</f>
        <v>0</v>
      </c>
      <c r="J550" s="87">
        <f>L542</f>
        <v>10302.58</v>
      </c>
      <c r="K550" s="87">
        <f>SUM(F550:J550)</f>
        <v>480015.72000000003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669353.88</v>
      </c>
      <c r="G551" s="87">
        <f>L528</f>
        <v>116807.42</v>
      </c>
      <c r="H551" s="87">
        <f>L533</f>
        <v>65880.38</v>
      </c>
      <c r="I551" s="87">
        <f>L538</f>
        <v>332.1</v>
      </c>
      <c r="J551" s="87">
        <f>L543</f>
        <v>93868.05</v>
      </c>
      <c r="K551" s="87">
        <f>SUM(F551:J551)</f>
        <v>946241.83000000007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1679785.0099999998</v>
      </c>
      <c r="G552" s="89">
        <f t="shared" si="42"/>
        <v>408417.54</v>
      </c>
      <c r="H552" s="89">
        <f t="shared" si="42"/>
        <v>230350.99</v>
      </c>
      <c r="I552" s="89">
        <f t="shared" si="42"/>
        <v>332.1</v>
      </c>
      <c r="J552" s="89">
        <f t="shared" si="42"/>
        <v>114473.21</v>
      </c>
      <c r="K552" s="89">
        <f t="shared" si="42"/>
        <v>2433358.85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6450</v>
      </c>
      <c r="G562" s="18">
        <v>493.47</v>
      </c>
      <c r="H562" s="18"/>
      <c r="I562" s="18"/>
      <c r="J562" s="18"/>
      <c r="K562" s="18"/>
      <c r="L562" s="88">
        <f>SUM(F562:K562)</f>
        <v>6943.47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6450</v>
      </c>
      <c r="G565" s="89">
        <f t="shared" si="44"/>
        <v>493.47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6943.47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6450</v>
      </c>
      <c r="G571" s="89">
        <f t="shared" ref="G571:L571" si="46">G560+G565+G570</f>
        <v>493.47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6943.47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27750</v>
      </c>
      <c r="G582" s="18">
        <v>71369</v>
      </c>
      <c r="H582" s="18">
        <v>304318.49</v>
      </c>
      <c r="I582" s="87">
        <f t="shared" si="47"/>
        <v>403437.49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>
        <v>34776</v>
      </c>
      <c r="I585" s="87">
        <f t="shared" si="47"/>
        <v>34776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94823.39</v>
      </c>
      <c r="I591" s="18">
        <v>38978.78</v>
      </c>
      <c r="J591" s="18">
        <v>53595.83</v>
      </c>
      <c r="K591" s="104">
        <f t="shared" ref="K591:K597" si="48">SUM(H591:J591)</f>
        <v>187398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10302.58</v>
      </c>
      <c r="I592" s="18">
        <v>10302.58</v>
      </c>
      <c r="J592" s="18">
        <v>93868.05</v>
      </c>
      <c r="K592" s="104">
        <f t="shared" si="48"/>
        <v>114473.21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>
        <v>43368.75</v>
      </c>
      <c r="K594" s="104">
        <f t="shared" si="48"/>
        <v>43368.75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2364.71</v>
      </c>
      <c r="I595" s="18">
        <v>5004.3999999999996</v>
      </c>
      <c r="J595" s="18"/>
      <c r="K595" s="104">
        <f t="shared" si="48"/>
        <v>7369.11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>
        <v>26556.35</v>
      </c>
      <c r="K597" s="104">
        <f t="shared" si="48"/>
        <v>26556.35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107490.68000000001</v>
      </c>
      <c r="I598" s="108">
        <f>SUM(I591:I597)</f>
        <v>54285.760000000002</v>
      </c>
      <c r="J598" s="108">
        <f>SUM(J591:J597)</f>
        <v>217388.98</v>
      </c>
      <c r="K598" s="108">
        <f>SUM(K591:K597)</f>
        <v>379165.42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70052.399999999994</v>
      </c>
      <c r="I604" s="18">
        <v>27790.78</v>
      </c>
      <c r="J604" s="18">
        <v>59412.32</v>
      </c>
      <c r="K604" s="104">
        <f>SUM(H604:J604)</f>
        <v>157255.5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70052.399999999994</v>
      </c>
      <c r="I605" s="108">
        <f>SUM(I602:I604)</f>
        <v>27790.78</v>
      </c>
      <c r="J605" s="108">
        <f>SUM(J602:J604)</f>
        <v>59412.32</v>
      </c>
      <c r="K605" s="108">
        <f>SUM(K602:K604)</f>
        <v>157255.5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24224.27</v>
      </c>
      <c r="G611" s="18">
        <v>3868.81</v>
      </c>
      <c r="H611" s="18"/>
      <c r="I611" s="18"/>
      <c r="J611" s="18"/>
      <c r="K611" s="18"/>
      <c r="L611" s="88">
        <f>SUM(F611:K611)</f>
        <v>28093.08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14389.53</v>
      </c>
      <c r="G612" s="18">
        <v>2065.27</v>
      </c>
      <c r="H612" s="18"/>
      <c r="I612" s="18"/>
      <c r="J612" s="18"/>
      <c r="K612" s="18"/>
      <c r="L612" s="88">
        <f>SUM(F612:K612)</f>
        <v>16454.8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38613.800000000003</v>
      </c>
      <c r="G614" s="108">
        <f t="shared" si="49"/>
        <v>5934.08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44547.880000000005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1692263.8299999998</v>
      </c>
      <c r="H617" s="109">
        <f>SUM(F52)</f>
        <v>1692263.83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19596.29</v>
      </c>
      <c r="H618" s="109">
        <f>SUM(G52)</f>
        <v>19596.29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66342.58</v>
      </c>
      <c r="H619" s="109">
        <f>SUM(H52)</f>
        <v>66342.58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362037.17</v>
      </c>
      <c r="H621" s="109">
        <f>SUM(J52)</f>
        <v>362037.17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484582.06</v>
      </c>
      <c r="H622" s="109">
        <f>F476</f>
        <v>484582.06000000052</v>
      </c>
      <c r="I622" s="121" t="s">
        <v>101</v>
      </c>
      <c r="J622" s="109">
        <f t="shared" ref="J622:J655" si="50">G622-H622</f>
        <v>-5.2386894822120667E-10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9113.7800000000007</v>
      </c>
      <c r="H623" s="109">
        <f>G476</f>
        <v>9113.7800000000279</v>
      </c>
      <c r="I623" s="121" t="s">
        <v>102</v>
      </c>
      <c r="J623" s="109">
        <f t="shared" si="50"/>
        <v>-2.7284841053187847E-11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8027.72</v>
      </c>
      <c r="H624" s="109">
        <f>H476</f>
        <v>8027.7199999999721</v>
      </c>
      <c r="I624" s="121" t="s">
        <v>103</v>
      </c>
      <c r="J624" s="109">
        <f t="shared" si="50"/>
        <v>2.8194335754960775E-11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362037.17</v>
      </c>
      <c r="H626" s="109">
        <f>J476</f>
        <v>362037.17000000004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10532504.219999999</v>
      </c>
      <c r="H627" s="104">
        <f>SUM(F468)</f>
        <v>10532504.220000001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280633.94</v>
      </c>
      <c r="H628" s="104">
        <f>SUM(G468)</f>
        <v>280633.94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545335.34000000008</v>
      </c>
      <c r="H629" s="104">
        <f>SUM(H468)</f>
        <v>545335.34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205352</v>
      </c>
      <c r="H630" s="104">
        <f>SUM(I468)</f>
        <v>205352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171304.16</v>
      </c>
      <c r="H631" s="104">
        <f>SUM(J468)</f>
        <v>171304.16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10977464.960000001</v>
      </c>
      <c r="H632" s="104">
        <f>SUM(F472)</f>
        <v>10977464.960000001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541023.21</v>
      </c>
      <c r="H633" s="104">
        <f>SUM(H472)</f>
        <v>541023.21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275366.06</v>
      </c>
      <c r="H635" s="104">
        <f>SUM(G472)</f>
        <v>275366.06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205352</v>
      </c>
      <c r="H636" s="104">
        <f>SUM(I472)</f>
        <v>205352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171304.16</v>
      </c>
      <c r="H637" s="164">
        <f>SUM(J468)</f>
        <v>171304.16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205352</v>
      </c>
      <c r="H638" s="164">
        <f>SUM(J472)</f>
        <v>205352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32564.36</v>
      </c>
      <c r="H639" s="104">
        <f>SUM(F461)</f>
        <v>32564.36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329472.81</v>
      </c>
      <c r="H640" s="104">
        <f>SUM(G461)</f>
        <v>329472.81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362037.17</v>
      </c>
      <c r="H642" s="104">
        <f>SUM(I461)</f>
        <v>362037.17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21304.16</v>
      </c>
      <c r="H644" s="104">
        <f>H408</f>
        <v>21304.16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150000</v>
      </c>
      <c r="H645" s="104">
        <f>G408</f>
        <v>150000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171304.16</v>
      </c>
      <c r="H646" s="104">
        <f>L408</f>
        <v>171304.16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379165.42</v>
      </c>
      <c r="H647" s="104">
        <f>L208+L226+L244</f>
        <v>379165.42000000004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157255.5</v>
      </c>
      <c r="H648" s="104">
        <f>(J257+J338)-(J255+J336)</f>
        <v>157255.5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107490.68</v>
      </c>
      <c r="H649" s="104">
        <f>H598</f>
        <v>107490.68000000001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54285.760000000002</v>
      </c>
      <c r="H650" s="104">
        <f>I598</f>
        <v>54285.760000000002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217388.98</v>
      </c>
      <c r="H651" s="104">
        <f>J598</f>
        <v>217388.98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150000</v>
      </c>
      <c r="H655" s="104">
        <f>K266+K347</f>
        <v>150000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4640899.620000001</v>
      </c>
      <c r="G660" s="19">
        <f>(L229+L309+L359)</f>
        <v>2369089.9400000004</v>
      </c>
      <c r="H660" s="19">
        <f>(L247+L328+L360)</f>
        <v>3679469.3299999996</v>
      </c>
      <c r="I660" s="19">
        <f>SUM(F660:H660)</f>
        <v>10689458.890000001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52106.287461227075</v>
      </c>
      <c r="G661" s="19">
        <f>(L359/IF(SUM(L358:L360)=0,1,SUM(L358:L360))*(SUM(G97:G110)))</f>
        <v>21419.184620497534</v>
      </c>
      <c r="H661" s="19">
        <f>(L360/IF(SUM(L358:L360)=0,1,SUM(L358:L360))*(SUM(G97:G110)))</f>
        <v>29451.377918275404</v>
      </c>
      <c r="I661" s="19">
        <f>SUM(F661:H661)</f>
        <v>102976.85000000002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107490.68</v>
      </c>
      <c r="G662" s="19">
        <f>(L226+L306)-(J226+J306)</f>
        <v>54285.760000000002</v>
      </c>
      <c r="H662" s="19">
        <f>(L244+L325)-(J244+J325)</f>
        <v>196188.98</v>
      </c>
      <c r="I662" s="19">
        <f>SUM(F662:H662)</f>
        <v>357965.42000000004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125895.48</v>
      </c>
      <c r="G663" s="199">
        <f>SUM(G575:G587)+SUM(I602:I604)+L612</f>
        <v>115614.58</v>
      </c>
      <c r="H663" s="199">
        <f>SUM(H575:H587)+SUM(J602:J604)+L613</f>
        <v>398506.81</v>
      </c>
      <c r="I663" s="19">
        <f>SUM(F663:H663)</f>
        <v>640016.87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4355407.1725387741</v>
      </c>
      <c r="G664" s="19">
        <f>G660-SUM(G661:G663)</f>
        <v>2177770.4153795028</v>
      </c>
      <c r="H664" s="19">
        <f>H660-SUM(H661:H663)</f>
        <v>3055322.162081724</v>
      </c>
      <c r="I664" s="19">
        <f>I660-SUM(I661:I663)</f>
        <v>9588499.75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266.42</v>
      </c>
      <c r="G665" s="248">
        <v>108.74</v>
      </c>
      <c r="H665" s="248">
        <v>144.94999999999999</v>
      </c>
      <c r="I665" s="19">
        <f>SUM(F665:H665)</f>
        <v>520.11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16347.9</v>
      </c>
      <c r="G667" s="19">
        <f>ROUND(G664/G665,2)</f>
        <v>20027.32</v>
      </c>
      <c r="H667" s="19">
        <f>ROUND(H664/H665,2)</f>
        <v>21078.46</v>
      </c>
      <c r="I667" s="19">
        <f>ROUND(I664/I665,2)</f>
        <v>18435.52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-1.61</v>
      </c>
      <c r="I670" s="19">
        <f>SUM(F670:H670)</f>
        <v>-1.61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16347.9</v>
      </c>
      <c r="G672" s="19">
        <f>ROUND((G664+G669)/(G665+G670),2)</f>
        <v>20027.32</v>
      </c>
      <c r="H672" s="19">
        <f>ROUND((H664+H669)/(H665+H670),2)</f>
        <v>21315.21</v>
      </c>
      <c r="I672" s="19">
        <f>ROUND((I664+I669)/(I665+I670),2)</f>
        <v>18492.77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F4" sqref="F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Hinsdale SAU92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2386464.17</v>
      </c>
      <c r="C9" s="229">
        <f>'DOE25'!G197+'DOE25'!G215+'DOE25'!G233+'DOE25'!G276+'DOE25'!G295+'DOE25'!G314</f>
        <v>1184193.4400000002</v>
      </c>
    </row>
    <row r="10" spans="1:3" x14ac:dyDescent="0.2">
      <c r="A10" t="s">
        <v>779</v>
      </c>
      <c r="B10" s="240">
        <v>2267817.59</v>
      </c>
      <c r="C10" s="240">
        <v>1172239.1100000001</v>
      </c>
    </row>
    <row r="11" spans="1:3" x14ac:dyDescent="0.2">
      <c r="A11" t="s">
        <v>780</v>
      </c>
      <c r="B11" s="240">
        <v>118646.58</v>
      </c>
      <c r="C11" s="240">
        <v>11954.33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2386464.17</v>
      </c>
      <c r="C13" s="231">
        <f>SUM(C10:C12)</f>
        <v>1184193.4400000002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995845.76</v>
      </c>
      <c r="C18" s="229">
        <f>'DOE25'!G198+'DOE25'!G216+'DOE25'!G234+'DOE25'!G277+'DOE25'!G296+'DOE25'!G315</f>
        <v>274704.31</v>
      </c>
    </row>
    <row r="19" spans="1:3" x14ac:dyDescent="0.2">
      <c r="A19" t="s">
        <v>779</v>
      </c>
      <c r="B19" s="240">
        <v>406353.55</v>
      </c>
      <c r="C19" s="240">
        <v>229608.16</v>
      </c>
    </row>
    <row r="20" spans="1:3" x14ac:dyDescent="0.2">
      <c r="A20" t="s">
        <v>780</v>
      </c>
      <c r="B20" s="240">
        <v>589492.21</v>
      </c>
      <c r="C20" s="240">
        <v>45096.15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995845.76</v>
      </c>
      <c r="C22" s="231">
        <f>SUM(C19:C21)</f>
        <v>274704.31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14520</v>
      </c>
      <c r="C27" s="234">
        <f>'DOE25'!G199+'DOE25'!G217+'DOE25'!G235+'DOE25'!G278+'DOE25'!G297+'DOE25'!G316</f>
        <v>1110.81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>
        <v>14520</v>
      </c>
      <c r="C30" s="240">
        <v>1110.81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14520</v>
      </c>
      <c r="C31" s="231">
        <f>SUM(C28:C30)</f>
        <v>1110.81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104804.58</v>
      </c>
      <c r="C36" s="235">
        <f>'DOE25'!G200+'DOE25'!G218+'DOE25'!G236+'DOE25'!G279+'DOE25'!G298+'DOE25'!G317</f>
        <v>15127.11</v>
      </c>
    </row>
    <row r="37" spans="1:3" x14ac:dyDescent="0.2">
      <c r="A37" t="s">
        <v>779</v>
      </c>
      <c r="B37" s="240">
        <v>38613.800000000003</v>
      </c>
      <c r="C37" s="240">
        <v>5934.08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66190.78</v>
      </c>
      <c r="C39" s="240">
        <v>9193.0300000000007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104804.58</v>
      </c>
      <c r="C40" s="231">
        <f>SUM(C37:C39)</f>
        <v>15127.11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" sqref="F4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Hinsdale SAU92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5325890.6000000006</v>
      </c>
      <c r="D5" s="20">
        <f>SUM('DOE25'!L197:L200)+SUM('DOE25'!L215:L218)+SUM('DOE25'!L233:L236)-F5-G5</f>
        <v>5321671.5000000009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4219.1000000000004</v>
      </c>
      <c r="H5" s="259"/>
    </row>
    <row r="6" spans="1:9" x14ac:dyDescent="0.2">
      <c r="A6" s="32">
        <v>2100</v>
      </c>
      <c r="B6" t="s">
        <v>801</v>
      </c>
      <c r="C6" s="245">
        <f t="shared" si="0"/>
        <v>1004270.0399999999</v>
      </c>
      <c r="D6" s="20">
        <f>'DOE25'!L202+'DOE25'!L220+'DOE25'!L238-F6-G6</f>
        <v>1003494.5399999999</v>
      </c>
      <c r="E6" s="243"/>
      <c r="F6" s="255">
        <f>'DOE25'!J202+'DOE25'!J220+'DOE25'!J238</f>
        <v>0</v>
      </c>
      <c r="G6" s="53">
        <f>'DOE25'!K202+'DOE25'!K220+'DOE25'!K238</f>
        <v>775.5</v>
      </c>
      <c r="H6" s="259"/>
    </row>
    <row r="7" spans="1:9" x14ac:dyDescent="0.2">
      <c r="A7" s="32">
        <v>2200</v>
      </c>
      <c r="B7" t="s">
        <v>834</v>
      </c>
      <c r="C7" s="245">
        <f t="shared" si="0"/>
        <v>142228.89000000001</v>
      </c>
      <c r="D7" s="20">
        <f>'DOE25'!L203+'DOE25'!L221+'DOE25'!L239-F7-G7</f>
        <v>140167.68000000002</v>
      </c>
      <c r="E7" s="243"/>
      <c r="F7" s="255">
        <f>'DOE25'!J203+'DOE25'!J221+'DOE25'!J239</f>
        <v>0</v>
      </c>
      <c r="G7" s="53">
        <f>'DOE25'!K203+'DOE25'!K221+'DOE25'!K239</f>
        <v>2061.21</v>
      </c>
      <c r="H7" s="259"/>
    </row>
    <row r="8" spans="1:9" x14ac:dyDescent="0.2">
      <c r="A8" s="32">
        <v>2300</v>
      </c>
      <c r="B8" t="s">
        <v>802</v>
      </c>
      <c r="C8" s="245">
        <f t="shared" si="0"/>
        <v>604461.55000000005</v>
      </c>
      <c r="D8" s="243"/>
      <c r="E8" s="20">
        <f>'DOE25'!L204+'DOE25'!L222+'DOE25'!L240-F8-G8-D9-D11</f>
        <v>592582.70000000007</v>
      </c>
      <c r="F8" s="255">
        <f>'DOE25'!J204+'DOE25'!J222+'DOE25'!J240</f>
        <v>1516.82</v>
      </c>
      <c r="G8" s="53">
        <f>'DOE25'!K204+'DOE25'!K222+'DOE25'!K240</f>
        <v>10362.029999999999</v>
      </c>
      <c r="H8" s="259"/>
    </row>
    <row r="9" spans="1:9" x14ac:dyDescent="0.2">
      <c r="A9" s="32">
        <v>2310</v>
      </c>
      <c r="B9" t="s">
        <v>818</v>
      </c>
      <c r="C9" s="245">
        <f t="shared" si="0"/>
        <v>28135.14</v>
      </c>
      <c r="D9" s="244">
        <v>28135.14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14637.57</v>
      </c>
      <c r="D10" s="243"/>
      <c r="E10" s="244">
        <v>14637.57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170048.14</v>
      </c>
      <c r="D11" s="244">
        <v>170048.14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833740.66</v>
      </c>
      <c r="D12" s="20">
        <f>'DOE25'!L205+'DOE25'!L223+'DOE25'!L241-F12-G12</f>
        <v>829327.66</v>
      </c>
      <c r="E12" s="243"/>
      <c r="F12" s="255">
        <f>'DOE25'!J205+'DOE25'!J223+'DOE25'!J241</f>
        <v>0</v>
      </c>
      <c r="G12" s="53">
        <f>'DOE25'!K205+'DOE25'!K223+'DOE25'!K241</f>
        <v>4413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1186049.22</v>
      </c>
      <c r="D14" s="20">
        <f>'DOE25'!L207+'DOE25'!L225+'DOE25'!L243-F14-G14</f>
        <v>1152653.6599999999</v>
      </c>
      <c r="E14" s="243"/>
      <c r="F14" s="255">
        <f>'DOE25'!J207+'DOE25'!J225+'DOE25'!J243</f>
        <v>33395.56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379165.42000000004</v>
      </c>
      <c r="D15" s="20">
        <f>'DOE25'!L208+'DOE25'!L226+'DOE25'!L244-F15-G15</f>
        <v>357965.42000000004</v>
      </c>
      <c r="E15" s="243"/>
      <c r="F15" s="255">
        <f>'DOE25'!J208+'DOE25'!J226+'DOE25'!J244</f>
        <v>21200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213001.8</v>
      </c>
      <c r="D16" s="243"/>
      <c r="E16" s="20">
        <f>'DOE25'!L209+'DOE25'!L227+'DOE25'!L245-F16-G16</f>
        <v>114304.66999999998</v>
      </c>
      <c r="F16" s="255">
        <f>'DOE25'!J209+'DOE25'!J227+'DOE25'!J245</f>
        <v>98697.13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940473.5</v>
      </c>
      <c r="D25" s="243"/>
      <c r="E25" s="243"/>
      <c r="F25" s="258"/>
      <c r="G25" s="256"/>
      <c r="H25" s="257">
        <f>'DOE25'!L260+'DOE25'!L261+'DOE25'!L341+'DOE25'!L342</f>
        <v>940473.5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275366.06</v>
      </c>
      <c r="D29" s="20">
        <f>'DOE25'!L358+'DOE25'!L359+'DOE25'!L360-'DOE25'!I367-F29-G29</f>
        <v>275366.06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527101.37</v>
      </c>
      <c r="D31" s="20">
        <f>'DOE25'!L290+'DOE25'!L309+'DOE25'!L328+'DOE25'!L333+'DOE25'!L334+'DOE25'!L335-F31-G31</f>
        <v>517229.66000000003</v>
      </c>
      <c r="E31" s="243"/>
      <c r="F31" s="255">
        <f>'DOE25'!J290+'DOE25'!J309+'DOE25'!J328+'DOE25'!J333+'DOE25'!J334+'DOE25'!J335</f>
        <v>2445.9899999999998</v>
      </c>
      <c r="G31" s="53">
        <f>'DOE25'!K290+'DOE25'!K309+'DOE25'!K328+'DOE25'!K333+'DOE25'!K334+'DOE25'!K335</f>
        <v>7425.7199999999993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9796059.4600000009</v>
      </c>
      <c r="E33" s="246">
        <f>SUM(E5:E31)</f>
        <v>721524.94</v>
      </c>
      <c r="F33" s="246">
        <f>SUM(F5:F31)</f>
        <v>157255.5</v>
      </c>
      <c r="G33" s="246">
        <f>SUM(G5:G31)</f>
        <v>29256.559999999998</v>
      </c>
      <c r="H33" s="246">
        <f>SUM(H5:H31)</f>
        <v>940473.5</v>
      </c>
    </row>
    <row r="35" spans="2:8" ht="12" thickBot="1" x14ac:dyDescent="0.25">
      <c r="B35" s="253" t="s">
        <v>847</v>
      </c>
      <c r="D35" s="254">
        <f>E33</f>
        <v>721524.94</v>
      </c>
      <c r="E35" s="249"/>
    </row>
    <row r="36" spans="2:8" ht="12" thickTop="1" x14ac:dyDescent="0.2">
      <c r="B36" t="s">
        <v>815</v>
      </c>
      <c r="D36" s="20">
        <f>D33</f>
        <v>9796059.4600000009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" sqref="F4"/>
      <selection pane="bottomLeft" activeCell="F4" sqref="F4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Hinsdale SAU92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1530375.96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48337.38</v>
      </c>
      <c r="D11" s="95">
        <f>'DOE25'!G12</f>
        <v>9977.48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8455.67</v>
      </c>
      <c r="E12" s="95">
        <f>'DOE25'!H13</f>
        <v>66342.58</v>
      </c>
      <c r="F12" s="95">
        <f>'DOE25'!I13</f>
        <v>0</v>
      </c>
      <c r="G12" s="95">
        <f>'DOE25'!J13</f>
        <v>362037.17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361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802.14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113550.49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1692263.8299999998</v>
      </c>
      <c r="D18" s="41">
        <f>SUM(D8:D17)</f>
        <v>19596.29</v>
      </c>
      <c r="E18" s="41">
        <f>SUM(E8:E17)</f>
        <v>66342.58</v>
      </c>
      <c r="F18" s="41">
        <f>SUM(F8:F17)</f>
        <v>0</v>
      </c>
      <c r="G18" s="41">
        <f>SUM(G8:G17)</f>
        <v>362037.17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58314.86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50980.08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101044.46</v>
      </c>
      <c r="D23" s="95">
        <f>'DOE25'!G24</f>
        <v>10482.51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705657.23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350000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1207681.77</v>
      </c>
      <c r="D31" s="41">
        <f>SUM(D21:D30)</f>
        <v>10482.51</v>
      </c>
      <c r="E31" s="41">
        <f>SUM(E21:E30)</f>
        <v>58314.86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9113.7800000000007</v>
      </c>
      <c r="E47" s="95">
        <f>'DOE25'!H48</f>
        <v>8027.72</v>
      </c>
      <c r="F47" s="95">
        <f>'DOE25'!I48</f>
        <v>0</v>
      </c>
      <c r="G47" s="95">
        <f>'DOE25'!J48</f>
        <v>362037.17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15115.08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419466.98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484582.06</v>
      </c>
      <c r="D50" s="41">
        <f>SUM(D34:D49)</f>
        <v>9113.7800000000007</v>
      </c>
      <c r="E50" s="41">
        <f>SUM(E34:E49)</f>
        <v>8027.72</v>
      </c>
      <c r="F50" s="41">
        <f>SUM(F34:F49)</f>
        <v>0</v>
      </c>
      <c r="G50" s="41">
        <f>SUM(G34:G49)</f>
        <v>362037.17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1692263.83</v>
      </c>
      <c r="D51" s="41">
        <f>D50+D31</f>
        <v>19596.29</v>
      </c>
      <c r="E51" s="41">
        <f>E50+E31</f>
        <v>66342.58</v>
      </c>
      <c r="F51" s="41">
        <f>F50+F31</f>
        <v>0</v>
      </c>
      <c r="G51" s="41">
        <f>G50+G31</f>
        <v>362037.17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4749513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111819.22</v>
      </c>
      <c r="D57" s="24" t="s">
        <v>289</v>
      </c>
      <c r="E57" s="95">
        <f>'DOE25'!H79</f>
        <v>19106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21304.16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102976.85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167426.16</v>
      </c>
      <c r="D61" s="95">
        <f>SUM('DOE25'!G98:G110)</f>
        <v>0</v>
      </c>
      <c r="E61" s="95">
        <f>SUM('DOE25'!H98:H110)</f>
        <v>4500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279245.38</v>
      </c>
      <c r="D62" s="130">
        <f>SUM(D57:D61)</f>
        <v>102976.85</v>
      </c>
      <c r="E62" s="130">
        <f>SUM(E57:E61)</f>
        <v>23606</v>
      </c>
      <c r="F62" s="130">
        <f>SUM(F57:F61)</f>
        <v>0</v>
      </c>
      <c r="G62" s="130">
        <f>SUM(G57:G61)</f>
        <v>21304.16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5028758.38</v>
      </c>
      <c r="D63" s="22">
        <f>D56+D62</f>
        <v>102976.85</v>
      </c>
      <c r="E63" s="22">
        <f>E56+E62</f>
        <v>23606</v>
      </c>
      <c r="F63" s="22">
        <f>F56+F62</f>
        <v>0</v>
      </c>
      <c r="G63" s="22">
        <f>G56+G62</f>
        <v>21304.16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4201953.21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578430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4780383.21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462802.6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85591.5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27322.91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12494.45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575717.01</v>
      </c>
      <c r="D78" s="130">
        <f>SUM(D72:D77)</f>
        <v>12494.45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5356100.22</v>
      </c>
      <c r="D81" s="130">
        <f>SUM(D79:D80)+D78+D70</f>
        <v>12494.45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12371.69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133723.78</v>
      </c>
      <c r="D88" s="95">
        <f>SUM('DOE25'!G153:G161)</f>
        <v>165162.64000000001</v>
      </c>
      <c r="E88" s="95">
        <f>SUM('DOE25'!H153:H161)</f>
        <v>509357.65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133723.78</v>
      </c>
      <c r="D91" s="131">
        <f>SUM(D85:D90)</f>
        <v>165162.64000000001</v>
      </c>
      <c r="E91" s="131">
        <f>SUM(E85:E90)</f>
        <v>521729.34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150000</v>
      </c>
    </row>
    <row r="97" spans="1:7" x14ac:dyDescent="0.2">
      <c r="A97" t="s">
        <v>758</v>
      </c>
      <c r="B97" s="32" t="s">
        <v>188</v>
      </c>
      <c r="C97" s="95">
        <f>SUM('DOE25'!F180:F181)</f>
        <v>13921.84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205352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13921.84</v>
      </c>
      <c r="D103" s="86">
        <f>SUM(D93:D102)</f>
        <v>0</v>
      </c>
      <c r="E103" s="86">
        <f>SUM(E93:E102)</f>
        <v>0</v>
      </c>
      <c r="F103" s="86">
        <f>SUM(F93:F102)</f>
        <v>205352</v>
      </c>
      <c r="G103" s="86">
        <f>SUM(G93:G102)</f>
        <v>150000</v>
      </c>
    </row>
    <row r="104" spans="1:7" ht="12.75" thickTop="1" thickBot="1" x14ac:dyDescent="0.25">
      <c r="A104" s="33" t="s">
        <v>765</v>
      </c>
      <c r="C104" s="86">
        <f>C63+C81+C91+C103</f>
        <v>10532504.219999999</v>
      </c>
      <c r="D104" s="86">
        <f>D63+D81+D91+D103</f>
        <v>280633.94</v>
      </c>
      <c r="E104" s="86">
        <f>E63+E81+E91+E103</f>
        <v>545335.34000000008</v>
      </c>
      <c r="F104" s="86">
        <f>F63+F81+F91+F103</f>
        <v>205352</v>
      </c>
      <c r="G104" s="86">
        <f>G63+G81+G103</f>
        <v>171304.16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3520525.7299999995</v>
      </c>
      <c r="D109" s="24" t="s">
        <v>289</v>
      </c>
      <c r="E109" s="95">
        <f>('DOE25'!L276)+('DOE25'!L295)+('DOE25'!L314)</f>
        <v>234524.47999999998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1574126.92</v>
      </c>
      <c r="D110" s="24" t="s">
        <v>289</v>
      </c>
      <c r="E110" s="95">
        <f>('DOE25'!L277)+('DOE25'!L296)+('DOE25'!L315)</f>
        <v>132703.70000000001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51111.07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180126.88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5325890.5999999996</v>
      </c>
      <c r="D115" s="86">
        <f>SUM(D109:D114)</f>
        <v>0</v>
      </c>
      <c r="E115" s="86">
        <f>SUM(E109:E114)</f>
        <v>367228.18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1004270.0399999999</v>
      </c>
      <c r="D118" s="24" t="s">
        <v>289</v>
      </c>
      <c r="E118" s="95">
        <f>+('DOE25'!L281)+('DOE25'!L300)+('DOE25'!L319)</f>
        <v>4000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142228.89000000001</v>
      </c>
      <c r="D119" s="24" t="s">
        <v>289</v>
      </c>
      <c r="E119" s="95">
        <f>+('DOE25'!L282)+('DOE25'!L301)+('DOE25'!L320)</f>
        <v>155873.19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802644.83000000007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833740.66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1186049.22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379165.42000000004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213001.8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275366.06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4561100.8599999994</v>
      </c>
      <c r="D128" s="86">
        <f>SUM(D118:D127)</f>
        <v>275366.06</v>
      </c>
      <c r="E128" s="86">
        <f>SUM(E118:E127)</f>
        <v>159873.19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205352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650000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290473.5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13921.84</v>
      </c>
      <c r="F134" s="95">
        <f>'DOE25'!K381</f>
        <v>0</v>
      </c>
      <c r="G134" s="95">
        <f>'DOE25'!K434</f>
        <v>205352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18.22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171285.94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-21304.160000000003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1090473.5</v>
      </c>
      <c r="D144" s="141">
        <f>SUM(D130:D143)</f>
        <v>0</v>
      </c>
      <c r="E144" s="141">
        <f>SUM(E130:E143)</f>
        <v>13921.84</v>
      </c>
      <c r="F144" s="141">
        <f>SUM(F130:F143)</f>
        <v>205352</v>
      </c>
      <c r="G144" s="141">
        <f>SUM(G130:G143)</f>
        <v>205352</v>
      </c>
    </row>
    <row r="145" spans="1:9" ht="12.75" thickTop="1" thickBot="1" x14ac:dyDescent="0.25">
      <c r="A145" s="33" t="s">
        <v>244</v>
      </c>
      <c r="C145" s="86">
        <f>(C115+C128+C144)</f>
        <v>10977464.959999999</v>
      </c>
      <c r="D145" s="86">
        <f>(D115+D128+D144)</f>
        <v>275366.06</v>
      </c>
      <c r="E145" s="86">
        <f>(E115+E128+E144)</f>
        <v>541023.21</v>
      </c>
      <c r="F145" s="86">
        <f>(F115+F128+F144)</f>
        <v>205352</v>
      </c>
      <c r="G145" s="86">
        <f>(G115+G128+G144)</f>
        <v>205352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08/05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08/25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13032960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4.04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7150000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7150000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650000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650000</v>
      </c>
    </row>
    <row r="159" spans="1:9" x14ac:dyDescent="0.2">
      <c r="A159" s="22" t="s">
        <v>35</v>
      </c>
      <c r="B159" s="137">
        <f>'DOE25'!F498</f>
        <v>6500000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6500000</v>
      </c>
    </row>
    <row r="160" spans="1:9" x14ac:dyDescent="0.2">
      <c r="A160" s="22" t="s">
        <v>36</v>
      </c>
      <c r="B160" s="137">
        <f>'DOE25'!F499</f>
        <v>1109373.25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1109373.25</v>
      </c>
    </row>
    <row r="161" spans="1:7" x14ac:dyDescent="0.2">
      <c r="A161" s="22" t="s">
        <v>37</v>
      </c>
      <c r="B161" s="137">
        <f>'DOE25'!F500</f>
        <v>7609373.25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7609373.25</v>
      </c>
    </row>
    <row r="162" spans="1:7" x14ac:dyDescent="0.2">
      <c r="A162" s="22" t="s">
        <v>38</v>
      </c>
      <c r="B162" s="137">
        <f>'DOE25'!F501</f>
        <v>650000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650000</v>
      </c>
    </row>
    <row r="163" spans="1:7" x14ac:dyDescent="0.2">
      <c r="A163" s="22" t="s">
        <v>39</v>
      </c>
      <c r="B163" s="137">
        <f>'DOE25'!F502</f>
        <v>257973.5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257973.5</v>
      </c>
    </row>
    <row r="164" spans="1:7" x14ac:dyDescent="0.2">
      <c r="A164" s="22" t="s">
        <v>246</v>
      </c>
      <c r="B164" s="137">
        <f>'DOE25'!F503</f>
        <v>907973.5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907973.5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F4" sqref="F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Hinsdale SAU92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16348</v>
      </c>
    </row>
    <row r="5" spans="1:4" x14ac:dyDescent="0.2">
      <c r="B5" t="s">
        <v>704</v>
      </c>
      <c r="C5" s="179">
        <f>IF('DOE25'!G665+'DOE25'!G670=0,0,ROUND('DOE25'!G672,0))</f>
        <v>20027</v>
      </c>
    </row>
    <row r="6" spans="1:4" x14ac:dyDescent="0.2">
      <c r="B6" t="s">
        <v>62</v>
      </c>
      <c r="C6" s="179">
        <f>IF('DOE25'!H665+'DOE25'!H670=0,0,ROUND('DOE25'!H672,0))</f>
        <v>21315</v>
      </c>
    </row>
    <row r="7" spans="1:4" x14ac:dyDescent="0.2">
      <c r="B7" t="s">
        <v>705</v>
      </c>
      <c r="C7" s="179">
        <f>IF('DOE25'!I665+'DOE25'!I670=0,0,ROUND('DOE25'!I672,0))</f>
        <v>18493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3755050</v>
      </c>
      <c r="D10" s="182">
        <f>ROUND((C10/$C$28)*100,1)</f>
        <v>34.5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1706831</v>
      </c>
      <c r="D11" s="182">
        <f>ROUND((C11/$C$28)*100,1)</f>
        <v>15.7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51111</v>
      </c>
      <c r="D12" s="182">
        <f>ROUND((C12/$C$28)*100,1)</f>
        <v>0.5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180127</v>
      </c>
      <c r="D13" s="182">
        <f>ROUND((C13/$C$28)*100,1)</f>
        <v>1.7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1008270</v>
      </c>
      <c r="D15" s="182">
        <f t="shared" ref="D15:D27" si="0">ROUND((C15/$C$28)*100,1)</f>
        <v>9.3000000000000007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298102</v>
      </c>
      <c r="D16" s="182">
        <f t="shared" si="0"/>
        <v>2.7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1015647</v>
      </c>
      <c r="D17" s="182">
        <f t="shared" si="0"/>
        <v>9.3000000000000007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833741</v>
      </c>
      <c r="D18" s="182">
        <f t="shared" si="0"/>
        <v>7.7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1186049</v>
      </c>
      <c r="D20" s="182">
        <f t="shared" si="0"/>
        <v>10.9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379165</v>
      </c>
      <c r="D21" s="182">
        <f t="shared" si="0"/>
        <v>3.5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290474</v>
      </c>
      <c r="D25" s="182">
        <f t="shared" si="0"/>
        <v>2.7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172389.15</v>
      </c>
      <c r="D27" s="182">
        <f t="shared" si="0"/>
        <v>1.6</v>
      </c>
    </row>
    <row r="28" spans="1:4" x14ac:dyDescent="0.2">
      <c r="B28" s="187" t="s">
        <v>723</v>
      </c>
      <c r="C28" s="180">
        <f>SUM(C10:C27)</f>
        <v>10876956.15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205352</v>
      </c>
    </row>
    <row r="30" spans="1:4" x14ac:dyDescent="0.2">
      <c r="B30" s="187" t="s">
        <v>729</v>
      </c>
      <c r="C30" s="180">
        <f>SUM(C28:C29)</f>
        <v>11082308.15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650000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4749513</v>
      </c>
      <c r="D35" s="182">
        <f t="shared" ref="D35:D40" si="1">ROUND((C35/$C$41)*100,1)</f>
        <v>42.2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324155.54000000004</v>
      </c>
      <c r="D36" s="182">
        <f t="shared" si="1"/>
        <v>2.9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4780383</v>
      </c>
      <c r="D37" s="182">
        <f t="shared" si="1"/>
        <v>42.4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588211</v>
      </c>
      <c r="D38" s="182">
        <f t="shared" si="1"/>
        <v>5.2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820616</v>
      </c>
      <c r="D39" s="182">
        <f t="shared" si="1"/>
        <v>7.3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11262878.539999999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" sqref="F4"/>
      <selection pane="bottomLeft" activeCell="F4" sqref="F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Hinsdale SAU92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>
        <v>3</v>
      </c>
      <c r="B4" s="219">
        <v>23</v>
      </c>
      <c r="C4" s="286" t="s">
        <v>915</v>
      </c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>
        <v>22</v>
      </c>
      <c r="B5" s="219">
        <v>24</v>
      </c>
      <c r="C5" s="286" t="s">
        <v>916</v>
      </c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>
        <v>23</v>
      </c>
      <c r="B6" s="219">
        <v>7</v>
      </c>
      <c r="C6" s="286" t="s">
        <v>917</v>
      </c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2016-08-04T15:18:56Z</cp:lastPrinted>
  <dcterms:created xsi:type="dcterms:W3CDTF">1997-12-04T19:04:30Z</dcterms:created>
  <dcterms:modified xsi:type="dcterms:W3CDTF">2016-11-30T16:25:36Z</dcterms:modified>
</cp:coreProperties>
</file>