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E115" i="2" s="1"/>
  <c r="L281" i="1"/>
  <c r="L282" i="1"/>
  <c r="L283" i="1"/>
  <c r="E120" i="2" s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C118" i="2"/>
  <c r="E118" i="2"/>
  <c r="E119" i="2"/>
  <c r="C121" i="2"/>
  <c r="E121" i="2"/>
  <c r="C122" i="2"/>
  <c r="E122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1" i="1"/>
  <c r="H641" i="1"/>
  <c r="G642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G164" i="2"/>
  <c r="C18" i="2"/>
  <c r="C26" i="10"/>
  <c r="L328" i="1"/>
  <c r="L351" i="1"/>
  <c r="A31" i="12"/>
  <c r="D12" i="13"/>
  <c r="C12" i="13" s="1"/>
  <c r="D18" i="13"/>
  <c r="C18" i="13" s="1"/>
  <c r="D7" i="13"/>
  <c r="C7" i="13" s="1"/>
  <c r="D17" i="13"/>
  <c r="C17" i="13" s="1"/>
  <c r="D6" i="13"/>
  <c r="C6" i="13" s="1"/>
  <c r="C91" i="2"/>
  <c r="F78" i="2"/>
  <c r="F81" i="2" s="1"/>
  <c r="D31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H169" i="1"/>
  <c r="J643" i="1"/>
  <c r="F476" i="1"/>
  <c r="H622" i="1" s="1"/>
  <c r="I476" i="1"/>
  <c r="H625" i="1" s="1"/>
  <c r="J625" i="1" s="1"/>
  <c r="F169" i="1"/>
  <c r="J140" i="1"/>
  <c r="F571" i="1"/>
  <c r="I552" i="1"/>
  <c r="K550" i="1"/>
  <c r="G22" i="2"/>
  <c r="K545" i="1"/>
  <c r="J552" i="1"/>
  <c r="H140" i="1"/>
  <c r="L393" i="1"/>
  <c r="F22" i="13"/>
  <c r="J651" i="1"/>
  <c r="J634" i="1"/>
  <c r="L560" i="1"/>
  <c r="J545" i="1"/>
  <c r="F338" i="1"/>
  <c r="F352" i="1" s="1"/>
  <c r="H192" i="1"/>
  <c r="F552" i="1"/>
  <c r="C35" i="10"/>
  <c r="L309" i="1"/>
  <c r="E16" i="13"/>
  <c r="L570" i="1"/>
  <c r="I571" i="1"/>
  <c r="I545" i="1"/>
  <c r="J636" i="1"/>
  <c r="G36" i="2"/>
  <c r="K551" i="1"/>
  <c r="C22" i="13"/>
  <c r="C138" i="2"/>
  <c r="C16" i="13"/>
  <c r="F112" i="1" l="1"/>
  <c r="D62" i="2"/>
  <c r="D63" i="2" s="1"/>
  <c r="I661" i="1"/>
  <c r="J640" i="1"/>
  <c r="I460" i="1"/>
  <c r="I461" i="1" s="1"/>
  <c r="H642" i="1" s="1"/>
  <c r="J639" i="1"/>
  <c r="G408" i="1"/>
  <c r="H645" i="1" s="1"/>
  <c r="H408" i="1"/>
  <c r="H644" i="1" s="1"/>
  <c r="J644" i="1"/>
  <c r="A13" i="12"/>
  <c r="G645" i="1"/>
  <c r="J645" i="1" s="1"/>
  <c r="K352" i="1"/>
  <c r="K598" i="1"/>
  <c r="G647" i="1" s="1"/>
  <c r="G545" i="1"/>
  <c r="L534" i="1"/>
  <c r="K549" i="1"/>
  <c r="K552" i="1" s="1"/>
  <c r="L529" i="1"/>
  <c r="K500" i="1"/>
  <c r="D145" i="2"/>
  <c r="L362" i="1"/>
  <c r="C20" i="10"/>
  <c r="E128" i="2"/>
  <c r="E145" i="2" s="1"/>
  <c r="L290" i="1"/>
  <c r="L338" i="1" s="1"/>
  <c r="L352" i="1" s="1"/>
  <c r="G633" i="1" s="1"/>
  <c r="J633" i="1" s="1"/>
  <c r="C17" i="10"/>
  <c r="C13" i="10"/>
  <c r="J338" i="1"/>
  <c r="J352" i="1" s="1"/>
  <c r="K271" i="1"/>
  <c r="H25" i="13"/>
  <c r="C25" i="13"/>
  <c r="H33" i="13"/>
  <c r="C123" i="2"/>
  <c r="D14" i="13"/>
  <c r="C14" i="13" s="1"/>
  <c r="E8" i="13"/>
  <c r="C8" i="13" s="1"/>
  <c r="C119" i="2"/>
  <c r="D5" i="13"/>
  <c r="C5" i="13" s="1"/>
  <c r="C112" i="2"/>
  <c r="C109" i="2"/>
  <c r="C115" i="2" s="1"/>
  <c r="C70" i="2"/>
  <c r="C81" i="2" s="1"/>
  <c r="H52" i="1"/>
  <c r="H619" i="1" s="1"/>
  <c r="D18" i="2"/>
  <c r="H257" i="1"/>
  <c r="H271" i="1" s="1"/>
  <c r="D15" i="13"/>
  <c r="C15" i="13" s="1"/>
  <c r="H647" i="1"/>
  <c r="F662" i="1"/>
  <c r="I662" i="1" s="1"/>
  <c r="L211" i="1"/>
  <c r="L257" i="1" s="1"/>
  <c r="L271" i="1" s="1"/>
  <c r="G632" i="1" s="1"/>
  <c r="J632" i="1" s="1"/>
  <c r="J622" i="1"/>
  <c r="J649" i="1"/>
  <c r="H660" i="1"/>
  <c r="H664" i="1" s="1"/>
  <c r="H672" i="1" s="1"/>
  <c r="C6" i="10" s="1"/>
  <c r="C120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H646" i="1" l="1"/>
  <c r="J646" i="1" s="1"/>
  <c r="G104" i="2"/>
  <c r="J647" i="1"/>
  <c r="L545" i="1"/>
  <c r="G672" i="1"/>
  <c r="C5" i="10" s="1"/>
  <c r="H667" i="1"/>
  <c r="C28" i="10"/>
  <c r="D23" i="10" s="1"/>
  <c r="C128" i="2"/>
  <c r="C145" i="2" s="1"/>
  <c r="E33" i="13"/>
  <c r="D35" i="13" s="1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0" i="10" l="1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<sst xmlns="http://schemas.openxmlformats.org/spreadsheetml/2006/main" count="3957" uniqueCount="915">
  <si>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</si>
  <si>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</si>
  <si>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</si>
  <si>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</si>
  <si>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</si>
  <si>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</si>
  <si>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</si>
  <si>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</si>
  <si>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</si>
  <si>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</si>
  <si>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</si>
  <si>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</si>
  <si>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</si>
  <si>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</si>
  <si>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</si>
  <si>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</si>
  <si>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</si>
  <si>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</si>
  <si>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</si>
  <si>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</si>
  <si>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</si>
  <si>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</si>
  <si>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</si>
  <si>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</si>
  <si>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</si>
  <si>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</si>
  <si>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</si>
  <si>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</si>
  <si>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</si>
  <si>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</si>
  <si>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</si>
  <si>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</si>
  <si>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</si>
  <si>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</si>
  <si>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</si>
  <si>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</si>
  <si>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</si>
  <si>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</si>
  <si>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</si>
  <si>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</si>
  <si>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</si>
  <si>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</si>
  <si>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</si>
  <si>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</si>
  <si>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</si>
  <si>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</si>
  <si>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</si>
  <si>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</si>
  <si>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</si>
  <si>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</si>
  <si>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</si>
  <si>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</si>
  <si>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</si>
  <si>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</si>
  <si>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</si>
  <si>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</si>
  <si>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</si>
  <si>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</si>
  <si>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</si>
  <si>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</si>
  <si>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</si>
  <si>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</si>
  <si>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</si>
  <si>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</si>
  <si>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</si>
  <si>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</si>
  <si>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</si>
  <si>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</si>
  <si>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</si>
  <si>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</si>
  <si>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</si>
  <si>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</si>
  <si>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</si>
  <si>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</si>
  <si>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</si>
  <si>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</si>
  <si>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</si>
  <si>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</si>
  <si>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</si>
  <si>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</si>
  <si>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</si>
  <si>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</si>
  <si>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</si>
  <si>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</si>
  <si>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</si>
  <si>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</si>
  <si>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</si>
  <si>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</si>
  <si>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</si>
  <si>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</si>
  <si>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</si>
  <si>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</si>
  <si>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</si>
  <si>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</si>
  <si>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</si>
  <si>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</si>
  <si>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</si>
  <si>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</si>
  <si>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</si>
  <si>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</si>
  <si>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</si>
  <si>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</si>
  <si>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</si>
  <si>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</si>
  <si>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</si>
  <si>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</si>
  <si>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</si>
  <si>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</si>
  <si>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</si>
  <si>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</si>
  <si>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</si>
  <si>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</si>
  <si>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</si>
  <si>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</si>
  <si>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</si>
  <si>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</si>
  <si>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</si>
  <si>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</si>
  <si>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</si>
  <si>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</si>
  <si>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</si>
  <si>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</si>
  <si>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</si>
  <si>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</si>
  <si>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</si>
  <si>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</si>
  <si>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</si>
  <si>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</si>
  <si>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</si>
  <si>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</si>
  <si>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</si>
  <si>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</si>
  <si>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</si>
  <si>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</si>
  <si>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</si>
  <si>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</si>
  <si>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</si>
  <si>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</si>
  <si>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</si>
  <si>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</si>
  <si>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</si>
  <si>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</si>
  <si>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</si>
  <si>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</si>
  <si>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</si>
  <si>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</si>
  <si>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</si>
  <si>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</si>
  <si>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</si>
  <si>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</si>
  <si>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</si>
  <si>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</si>
  <si>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</si>
  <si>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</si>
  <si>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</si>
  <si>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</si>
  <si>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</si>
  <si>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</si>
  <si>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</si>
  <si>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</si>
  <si>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</si>
  <si>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</si>
  <si>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</si>
  <si>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</si>
  <si>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</si>
  <si>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</si>
  <si>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</si>
  <si>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</si>
  <si>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</si>
  <si>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</si>
  <si>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</si>
  <si>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</si>
  <si>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</si>
  <si>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</si>
  <si>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</si>
  <si>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</si>
  <si>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</si>
  <si>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</si>
  <si>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</si>
  <si>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</si>
  <si>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</si>
  <si>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</si>
  <si>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</si>
  <si>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</si>
  <si>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</si>
  <si>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</si>
  <si>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</si>
  <si>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</si>
  <si>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</si>
  <si>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</si>
  <si>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</si>
  <si>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</si>
  <si>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</si>
  <si>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</si>
  <si>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</si>
  <si>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</si>
  <si>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</si>
  <si>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</si>
  <si>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</si>
  <si>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</si>
  <si>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</si>
  <si>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</si>
  <si>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</si>
  <si>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</si>
  <si>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</si>
  <si>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</si>
  <si>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</si>
  <si>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</si>
  <si>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</si>
  <si>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</si>
  <si>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</si>
  <si>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</si>
  <si>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</si>
  <si>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</si>
  <si>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</si>
  <si>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</si>
  <si>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</si>
  <si>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</si>
  <si>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</si>
  <si>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</si>
  <si>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</si>
  <si>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</si>
  <si>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</si>
  <si>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</si>
  <si>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</si>
  <si>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</si>
  <si>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</si>
  <si>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</si>
  <si>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</si>
  <si>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</si>
  <si>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</si>
  <si>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</si>
  <si>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</si>
  <si>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</si>
  <si>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</si>
  <si>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</si>
  <si>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</si>
  <si>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</si>
  <si>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</si>
  <si>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</si>
  <si>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</si>
  <si>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</si>
  <si>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</si>
  <si>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</si>
  <si>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</si>
  <si>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</si>
  <si>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</si>
  <si>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</si>
  <si>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</si>
  <si>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</si>
  <si>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</si>
  <si>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</si>
  <si>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</si>
  <si>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</si>
  <si>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</si>
  <si>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</si>
  <si>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</si>
  <si>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</si>
  <si>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</si>
  <si>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</si>
  <si>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</si>
  <si>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</si>
  <si>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</si>
  <si>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</si>
  <si>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</si>
  <si>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</si>
  <si>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</si>
  <si>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</si>
  <si>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</si>
  <si>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</si>
  <si>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</si>
  <si>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</si>
  <si>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</si>
  <si>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</si>
  <si>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</si>
  <si>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</si>
  <si>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</si>
  <si>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</si>
  <si>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</si>
  <si>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</si>
  <si>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</si>
  <si>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</si>
  <si>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</si>
  <si>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</si>
  <si>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</si>
  <si>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</si>
  <si>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</si>
  <si>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</si>
  <si>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</si>
  <si>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</si>
  <si>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</si>
  <si>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</si>
  <si>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</si>
  <si>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</si>
  <si>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</si>
  <si>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</si>
  <si>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</si>
  <si>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</si>
  <si>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</si>
  <si>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</si>
  <si>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</si>
  <si>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</si>
  <si>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</si>
  <si>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</si>
  <si>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</si>
  <si>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</si>
  <si>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</si>
  <si>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</si>
  <si>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</si>
  <si>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</si>
  <si>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</si>
  <si>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</si>
  <si>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</si>
  <si>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</si>
  <si>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</si>
  <si>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</si>
  <si>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</si>
  <si>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</si>
  <si>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</si>
  <si>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</si>
  <si>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</si>
  <si>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</si>
  <si>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</si>
  <si>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</si>
  <si>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</si>
  <si>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</si>
  <si>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</si>
  <si>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</si>
  <si>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</si>
  <si>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</si>
  <si>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</si>
  <si>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</si>
  <si>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</si>
  <si>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</si>
  <si>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</si>
  <si>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</si>
  <si>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</si>
  <si>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</si>
  <si>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</si>
  <si>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</si>
  <si>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</si>
  <si>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</si>
  <si>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</si>
  <si>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</si>
  <si>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</si>
  <si>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</si>
  <si>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</si>
  <si>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</si>
  <si>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</si>
  <si>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</si>
  <si>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</si>
  <si>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</si>
  <si>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</si>
  <si>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</si>
  <si>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</si>
  <si>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</si>
  <si>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</si>
  <si>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</si>
  <si>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</si>
  <si>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</si>
  <si>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</si>
  <si>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</si>
  <si>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</si>
  <si>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</si>
  <si>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</si>
  <si>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</si>
  <si>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</si>
  <si>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</si>
  <si>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</si>
  <si>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</si>
  <si>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</si>
  <si>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</si>
  <si>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</si>
  <si>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</si>
  <si>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</si>
  <si>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</si>
  <si>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</si>
  <si>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</si>
  <si>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</si>
  <si>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</si>
  <si>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</si>
  <si>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</si>
  <si>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</si>
  <si>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</si>
  <si>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</si>
  <si>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</si>
  <si>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</si>
  <si>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</si>
  <si>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</si>
  <si>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</si>
  <si>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</si>
  <si>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</si>
  <si>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</si>
  <si>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</si>
  <si>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</si>
  <si>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</si>
  <si>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</si>
  <si>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</si>
  <si>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</si>
  <si>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</si>
  <si>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</si>
  <si>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</si>
  <si>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</si>
  <si>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</si>
  <si>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</si>
  <si>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</si>
  <si>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</si>
  <si>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</si>
  <si>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</si>
  <si>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</si>
  <si>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</si>
  <si>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</si>
  <si>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</si>
  <si>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</si>
  <si>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</si>
  <si>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</si>
  <si>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</si>
  <si>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</si>
  <si>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</si>
  <si>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</si>
  <si>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</si>
  <si>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</si>
  <si>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</si>
  <si>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</si>
  <si>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</si>
  <si>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</si>
  <si>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</si>
  <si>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</si>
  <si>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</si>
  <si>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</si>
  <si>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</si>
  <si>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</si>
  <si>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</si>
  <si>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</si>
  <si>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</si>
  <si>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</si>
  <si>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</si>
  <si>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</si>
  <si>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</si>
  <si>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</si>
  <si>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</si>
  <si>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</si>
  <si>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</si>
  <si>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</si>
  <si>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</si>
  <si>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</si>
  <si>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</si>
  <si>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</si>
  <si>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</si>
  <si>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</si>
  <si>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</si>
  <si>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</si>
  <si>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</si>
  <si>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</si>
  <si>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</si>
  <si>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</si>
  <si>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</si>
  <si>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</si>
  <si>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</si>
  <si>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</si>
  <si>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</si>
  <si>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</si>
  <si>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</si>
  <si>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</si>
  <si>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</si>
  <si>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</si>
  <si>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</si>
  <si>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</si>
  <si>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</si>
  <si>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</si>
  <si>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</si>
  <si>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</si>
  <si>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</si>
  <si>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</si>
  <si>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</si>
  <si>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</si>
  <si>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</si>
  <si>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</si>
  <si>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</si>
  <si>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</si>
  <si>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</si>
  <si>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</si>
  <si>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</si>
  <si>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</si>
  <si>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</si>
  <si>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</si>
  <si>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</si>
  <si>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</si>
  <si>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</si>
  <si>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</si>
  <si>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</si>
  <si>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</si>
  <si>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</si>
  <si>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</si>
  <si>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</si>
  <si>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</si>
  <si>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</si>
  <si>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</si>
  <si>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</si>
  <si>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</si>
  <si>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</si>
  <si>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</si>
  <si>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</si>
  <si>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</si>
  <si>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</si>
  <si>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</si>
  <si>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</si>
  <si>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</si>
  <si>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</si>
  <si>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</si>
  <si>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</si>
  <si>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</si>
  <si>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</si>
  <si>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</si>
  <si>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</si>
  <si>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</si>
  <si>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</si>
  <si>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</si>
  <si>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</si>
  <si>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</si>
  <si>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</si>
  <si>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</si>
  <si>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</si>
  <si>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</si>
  <si>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</si>
  <si>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</si>
  <si>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</si>
  <si>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</si>
  <si>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</si>
  <si>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</si>
  <si>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</si>
  <si>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</si>
  <si>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</si>
  <si>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</si>
  <si>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</si>
  <si>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</si>
  <si>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</si>
  <si>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</si>
  <si>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</si>
  <si>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</si>
  <si>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</si>
  <si>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</si>
  <si>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</si>
  <si>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</si>
  <si>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</si>
  <si>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</si>
  <si>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</si>
  <si>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</si>
  <si>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</si>
  <si>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</si>
  <si>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</si>
  <si>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</si>
  <si>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</si>
  <si>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</si>
  <si>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</si>
  <si>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</si>
  <si>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</si>
  <si>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</si>
  <si>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</si>
  <si>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</si>
  <si>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</si>
  <si>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</si>
  <si>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</si>
  <si>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</si>
  <si>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</si>
  <si>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</si>
  <si>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</si>
  <si>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</si>
  <si>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</si>
  <si>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</si>
  <si>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</si>
  <si>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</si>
  <si>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</si>
  <si>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</si>
  <si>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</si>
  <si>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</si>
  <si>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</si>
  <si>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</si>
  <si>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</si>
  <si>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</si>
  <si>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</si>
  <si>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</si>
  <si>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</si>
  <si>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</si>
  <si>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</si>
  <si>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</si>
  <si>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</si>
  <si>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</si>
  <si>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</si>
  <si>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</si>
  <si>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</si>
  <si>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</si>
  <si>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</si>
  <si>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</si>
  <si>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</si>
  <si>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</si>
  <si>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</si>
  <si>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</si>
  <si>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</si>
  <si>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</si>
  <si>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</si>
  <si>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</si>
  <si>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</si>
  <si>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</si>
  <si>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</si>
  <si>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</si>
  <si>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</si>
  <si>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</si>
  <si>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</si>
  <si>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</si>
  <si>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</si>
  <si>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</si>
  <si>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</si>
  <si>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</si>
  <si>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</si>
  <si>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</si>
  <si>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</si>
  <si>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</si>
  <si>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</si>
  <si>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</si>
  <si>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</si>
  <si>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</si>
  <si>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</si>
  <si>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</si>
  <si>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</si>
  <si>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</si>
  <si>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</si>
  <si>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</si>
  <si>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</si>
  <si>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</si>
  <si>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</si>
  <si>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</si>
  <si>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</si>
  <si>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</si>
  <si>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</si>
  <si>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</si>
  <si>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</si>
  <si>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</si>
  <si>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</si>
  <si>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</si>
  <si>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</si>
  <si>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</si>
  <si>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</si>
  <si>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</si>
  <si>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</si>
  <si>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</si>
  <si>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</si>
  <si>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</si>
  <si>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</si>
  <si>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</si>
  <si>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</si>
  <si>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</si>
  <si>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</si>
  <si>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</si>
  <si>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</si>
  <si>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</si>
  <si>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</si>
  <si>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</si>
  <si>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</si>
  <si>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</si>
  <si>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</si>
  <si>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</si>
  <si>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</si>
  <si>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</si>
  <si>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</si>
  <si>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</si>
  <si>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</si>
  <si>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</si>
  <si>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</si>
  <si>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</si>
  <si>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</si>
  <si>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</si>
  <si>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</si>
  <si>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</si>
  <si>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</si>
  <si>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</si>
  <si>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</si>
  <si>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</si>
  <si>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</si>
  <si>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</si>
  <si>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</si>
  <si>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</si>
  <si>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</si>
  <si>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</si>
  <si>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</si>
  <si>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</si>
  <si>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</si>
  <si>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</si>
  <si>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</si>
  <si>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</si>
  <si>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</si>
  <si>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</si>
  <si>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</si>
  <si>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</si>
  <si>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</si>
  <si>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</si>
  <si>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</si>
  <si>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</si>
  <si>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</si>
  <si>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</si>
  <si>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</si>
  <si>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</si>
  <si>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</si>
  <si>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</si>
  <si>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</si>
  <si>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</si>
  <si>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</si>
  <si>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</si>
  <si>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</si>
  <si>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</si>
  <si>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</si>
  <si>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</si>
  <si>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</si>
  <si>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</si>
  <si>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</si>
  <si>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</si>
  <si>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</si>
  <si>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</si>
  <si>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</si>
  <si>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</si>
  <si>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</si>
  <si>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</si>
  <si>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</si>
  <si>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</si>
  <si>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</si>
  <si>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</si>
  <si>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</si>
  <si>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</si>
  <si>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</si>
  <si>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</si>
  <si>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</si>
  <si>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</si>
  <si>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</si>
  <si>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</si>
  <si>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</si>
  <si>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</si>
  <si>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</si>
  <si>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</si>
  <si>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</si>
  <si>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</si>
  <si>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</si>
  <si>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</si>
  <si>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</si>
  <si>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</si>
  <si>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</si>
  <si>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</si>
  <si>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</si>
  <si>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</si>
  <si>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</si>
  <si>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</si>
  <si>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</si>
  <si>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</si>
  <si>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</si>
  <si>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</si>
  <si>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</si>
  <si>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</si>
  <si>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</si>
  <si>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</si>
  <si>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</si>
  <si>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</si>
  <si>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</si>
  <si>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</si>
  <si>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</si>
  <si>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</si>
  <si>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</si>
  <si>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</si>
  <si>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</si>
  <si>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</si>
  <si>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</si>
  <si>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</si>
  <si>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</si>
  <si>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</si>
  <si>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</si>
  <si>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</si>
  <si>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</si>
  <si>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</si>
  <si>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</si>
  <si>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</si>
  <si>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</si>
  <si>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</si>
  <si>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</si>
  <si>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</si>
  <si>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</si>
  <si>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</si>
  <si>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</si>
  <si>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</si>
  <si>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</si>
  <si>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</si>
  <si>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</si>
  <si>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</si>
  <si>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</si>
  <si>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</si>
  <si>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</si>
  <si>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</si>
  <si>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</si>
  <si>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</si>
  <si>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</si>
  <si>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</si>
  <si>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</si>
  <si>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</si>
  <si>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</si>
  <si>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</si>
  <si>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</si>
  <si>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</si>
  <si>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</si>
  <si>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</si>
  <si>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</si>
  <si>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</si>
  <si>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</si>
  <si>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</si>
  <si>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</si>
  <si>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</si>
  <si>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</si>
  <si>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</si>
  <si>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</si>
  <si>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</si>
  <si>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</si>
  <si>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</si>
  <si>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</si>
  <si>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</si>
  <si>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</si>
  <si>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</si>
  <si>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</si>
  <si>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</si>
  <si>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</si>
  <si>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</si>
  <si>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</si>
  <si>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</si>
  <si>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</si>
  <si>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</si>
  <si>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</si>
  <si>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</si>
  <si>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</si>
  <si>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</si>
  <si>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</si>
  <si>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</si>
  <si>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</si>
  <si>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</si>
  <si>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</si>
  <si>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</si>
  <si>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</si>
  <si>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</si>
  <si>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</si>
  <si>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</si>
  <si>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</si>
  <si>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</si>
  <si>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</si>
  <si>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</si>
  <si>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</si>
  <si>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</si>
  <si>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</si>
  <si>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</si>
  <si>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</si>
  <si>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</si>
  <si>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</si>
  <si>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</si>
  <si>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</si>
  <si>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</si>
  <si>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</si>
  <si>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</si>
  <si>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</si>
  <si>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</si>
  <si>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</si>
  <si>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</si>
  <si>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</si>
  <si>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</si>
  <si>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</si>
  <si>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</si>
  <si>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</si>
  <si>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</si>
  <si>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</si>
  <si>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</si>
  <si>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</si>
  <si>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</si>
  <si>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</si>
  <si>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</si>
  <si>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</si>
  <si>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</si>
  <si>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</si>
  <si>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</si>
  <si>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</si>
  <si>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</si>
  <si>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</si>
  <si>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</si>
  <si>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</si>
  <si>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</si>
  <si>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</si>
  <si>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</si>
  <si>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</si>
  <si>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</si>
  <si>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</si>
  <si>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</si>
  <si>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</si>
  <si>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</si>
  <si>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</si>
  <si>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</si>
  <si>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</si>
  <si>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</si>
  <si>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</si>
  <si>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</si>
  <si>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</si>
  <si>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</si>
  <si>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</si>
  <si>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</si>
  <si>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</si>
  <si>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</si>
  <si>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</si>
  <si>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</si>
  <si>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</si>
  <si>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</si>
  <si>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</si>
  <si>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</si>
  <si>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07/07</t>
  </si>
  <si>
    <t>08/17</t>
  </si>
  <si>
    <t>Holderness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</si>
</sst>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6" activePane="bottomRight" state="frozen"/>
      <selection pane="topRight" activeCell="F1" sqref="F1"/>
      <selection pane="bottomLeft" activeCell="A4" sqref="A4"/>
      <selection pane="bottomRight" activeCell="F68" sqref="F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257</v>
      </c>
      <c r="C2" s="21">
        <v>257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329034.43</v>
      </c>
      <c r="G9" s="18">
        <v>-1084.53</v>
      </c>
      <c r="H9" s="18">
        <v>-10305.34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302014.54000000004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3692.24</v>
      </c>
      <c r="G13" s="18">
        <v>4043.21</v>
      </c>
      <c r="H13" s="18">
        <v>10501.77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4702.45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337429.12</v>
      </c>
      <c r="G19" s="41">
        <f>SUM(G9:G18)</f>
        <v>2958.6800000000003</v>
      </c>
      <c r="H19" s="41">
        <f>SUM(H9:H18)</f>
        <v>196.43000000000029</v>
      </c>
      <c r="I19" s="41">
        <f>SUM(I9:I18)</f>
        <v>0</v>
      </c>
      <c r="J19" s="41">
        <f>SUM(J9:J18)</f>
        <v>302014.54000000004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36126.06</v>
      </c>
      <c r="G24" s="18">
        <v>2799.48</v>
      </c>
      <c r="H24" s="18">
        <v>196.43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36126.06</v>
      </c>
      <c r="G32" s="41">
        <f>SUM(G22:G31)</f>
        <v>2799.48</v>
      </c>
      <c r="H32" s="41">
        <f>SUM(H22:H31)</f>
        <v>196.43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50542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104032.1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159.19999999999999</v>
      </c>
      <c r="H48" s="18"/>
      <c r="I48" s="18"/>
      <c r="J48" s="13">
        <f>SUM(I459)</f>
        <v>302014.54000000004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120100.72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26628.240000000002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301303.06</v>
      </c>
      <c r="G51" s="41">
        <f>SUM(G35:G50)</f>
        <v>159.19999999999999</v>
      </c>
      <c r="H51" s="41">
        <f>SUM(H35:H50)</f>
        <v>0</v>
      </c>
      <c r="I51" s="41">
        <f>SUM(I35:I50)</f>
        <v>0</v>
      </c>
      <c r="J51" s="41">
        <f>SUM(J35:J50)</f>
        <v>302014.54000000004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337429.12</v>
      </c>
      <c r="G52" s="41">
        <f>G51+G32</f>
        <v>2958.68</v>
      </c>
      <c r="H52" s="41">
        <f>H51+H32</f>
        <v>196.43</v>
      </c>
      <c r="I52" s="41">
        <f>I51+I32</f>
        <v>0</v>
      </c>
      <c r="J52" s="41">
        <f>J51+J32</f>
        <v>302014.54000000004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3042554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3042554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45573.84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45573.84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44.03</v>
      </c>
      <c r="G96" s="18"/>
      <c r="H96" s="18"/>
      <c r="I96" s="18"/>
      <c r="J96" s="18">
        <v>860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29367.759999999998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2786.59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15000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17830.62</v>
      </c>
      <c r="G111" s="41">
        <f>SUM(G96:G110)</f>
        <v>29367.759999999998</v>
      </c>
      <c r="H111" s="41">
        <f>SUM(H96:H110)</f>
        <v>0</v>
      </c>
      <c r="I111" s="41">
        <f>SUM(I96:I110)</f>
        <v>0</v>
      </c>
      <c r="J111" s="41">
        <f>SUM(J96:J110)</f>
        <v>860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3105958.46</v>
      </c>
      <c r="G112" s="41">
        <f>G60+G111</f>
        <v>29367.759999999998</v>
      </c>
      <c r="H112" s="41">
        <f>H60+H79+H94+H111</f>
        <v>0</v>
      </c>
      <c r="I112" s="41">
        <f>I60+I111</f>
        <v>0</v>
      </c>
      <c r="J112" s="41">
        <f>J60+J111</f>
        <v>860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1118730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846.89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1119576.8899999999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75159.06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20229.39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864.61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95388.45</v>
      </c>
      <c r="G136" s="41">
        <f>SUM(G123:G135)</f>
        <v>864.61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1214965.3399999999</v>
      </c>
      <c r="G140" s="41">
        <f>G121+SUM(G136:G137)</f>
        <v>864.61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48826.38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23431.85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13052.09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11051.73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13052.09</v>
      </c>
      <c r="G162" s="41">
        <f>SUM(G150:G161)</f>
        <v>23431.85</v>
      </c>
      <c r="H162" s="41">
        <f>SUM(H150:H161)</f>
        <v>59878.11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352.52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13404.61</v>
      </c>
      <c r="G169" s="41">
        <f>G147+G162+SUM(G163:G168)</f>
        <v>23431.85</v>
      </c>
      <c r="H169" s="41">
        <f>H147+H162+SUM(H163:H168)</f>
        <v>59878.11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20000</v>
      </c>
      <c r="H179" s="18"/>
      <c r="I179" s="18"/>
      <c r="J179" s="18">
        <v>57500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57500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57500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4334328.41</v>
      </c>
      <c r="G193" s="47">
        <f>G112+G140+G169+G192</f>
        <v>73664.22</v>
      </c>
      <c r="H193" s="47">
        <f>H112+H140+H169+H192</f>
        <v>59878.11</v>
      </c>
      <c r="I193" s="47">
        <f>I112+I140+I169+I192</f>
        <v>0</v>
      </c>
      <c r="J193" s="47">
        <f>J112+J140+J192</f>
        <v>58360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1043873.65</v>
      </c>
      <c r="G197" s="18">
        <v>438053.56</v>
      </c>
      <c r="H197" s="18">
        <v>1025.8499999999999</v>
      </c>
      <c r="I197" s="18">
        <v>42632.959999999999</v>
      </c>
      <c r="J197" s="18">
        <v>88029.54</v>
      </c>
      <c r="K197" s="18">
        <v>520</v>
      </c>
      <c r="L197" s="19">
        <f>SUM(F197:K197)</f>
        <v>1614135.56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235131.46</v>
      </c>
      <c r="G198" s="18">
        <v>114749.4</v>
      </c>
      <c r="H198" s="18">
        <v>182928.54</v>
      </c>
      <c r="I198" s="18">
        <v>383.86</v>
      </c>
      <c r="J198" s="18"/>
      <c r="K198" s="18"/>
      <c r="L198" s="19">
        <f>SUM(F198:K198)</f>
        <v>533193.26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41808.5</v>
      </c>
      <c r="G200" s="18">
        <v>7055.75</v>
      </c>
      <c r="H200" s="18">
        <v>5550</v>
      </c>
      <c r="I200" s="18">
        <v>3632.49</v>
      </c>
      <c r="J200" s="18"/>
      <c r="K200" s="18"/>
      <c r="L200" s="19">
        <f>SUM(F200:K200)</f>
        <v>58046.74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84963.6</v>
      </c>
      <c r="G202" s="18">
        <v>39031</v>
      </c>
      <c r="H202" s="18">
        <v>144186.16</v>
      </c>
      <c r="I202" s="18">
        <v>4144.41</v>
      </c>
      <c r="J202" s="18"/>
      <c r="K202" s="18">
        <v>116.1</v>
      </c>
      <c r="L202" s="19">
        <f t="shared" ref="L202:L208" si="0">SUM(F202:K202)</f>
        <v>272441.26999999996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74554</v>
      </c>
      <c r="G203" s="18">
        <v>66124.67</v>
      </c>
      <c r="H203" s="18"/>
      <c r="I203" s="18">
        <v>5804.13</v>
      </c>
      <c r="J203" s="18"/>
      <c r="K203" s="18"/>
      <c r="L203" s="19">
        <f t="shared" si="0"/>
        <v>146482.79999999999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2340</v>
      </c>
      <c r="G204" s="18">
        <v>272.97000000000003</v>
      </c>
      <c r="H204" s="18">
        <v>237419.65</v>
      </c>
      <c r="I204" s="18">
        <v>569.80999999999995</v>
      </c>
      <c r="J204" s="18"/>
      <c r="K204" s="18">
        <v>2655.24</v>
      </c>
      <c r="L204" s="19">
        <f t="shared" si="0"/>
        <v>243257.66999999998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172686.43</v>
      </c>
      <c r="G205" s="18">
        <v>103833.28</v>
      </c>
      <c r="H205" s="18">
        <v>7529.27</v>
      </c>
      <c r="I205" s="18">
        <v>586.89</v>
      </c>
      <c r="J205" s="18"/>
      <c r="K205" s="18">
        <v>1964.08</v>
      </c>
      <c r="L205" s="19">
        <f t="shared" si="0"/>
        <v>286599.95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299.25</v>
      </c>
      <c r="I206" s="18"/>
      <c r="J206" s="18"/>
      <c r="K206" s="18"/>
      <c r="L206" s="19">
        <f t="shared" si="0"/>
        <v>299.25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104245.93</v>
      </c>
      <c r="G207" s="18">
        <v>56679.28</v>
      </c>
      <c r="H207" s="18">
        <v>86517.54</v>
      </c>
      <c r="I207" s="18">
        <v>87281.97</v>
      </c>
      <c r="J207" s="18">
        <v>26500</v>
      </c>
      <c r="K207" s="18"/>
      <c r="L207" s="19">
        <f t="shared" si="0"/>
        <v>361224.72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190242.02</v>
      </c>
      <c r="I208" s="18"/>
      <c r="J208" s="18"/>
      <c r="K208" s="18"/>
      <c r="L208" s="19">
        <f t="shared" si="0"/>
        <v>190242.02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1759603.57</v>
      </c>
      <c r="G211" s="41">
        <f t="shared" si="1"/>
        <v>825799.91</v>
      </c>
      <c r="H211" s="41">
        <f t="shared" si="1"/>
        <v>855698.28000000014</v>
      </c>
      <c r="I211" s="41">
        <f t="shared" si="1"/>
        <v>145036.51999999999</v>
      </c>
      <c r="J211" s="41">
        <f t="shared" si="1"/>
        <v>114529.54</v>
      </c>
      <c r="K211" s="41">
        <f t="shared" si="1"/>
        <v>5255.42</v>
      </c>
      <c r="L211" s="41">
        <f t="shared" si="1"/>
        <v>3705923.2400000007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141137.45000000001</v>
      </c>
      <c r="I255" s="18"/>
      <c r="J255" s="18"/>
      <c r="K255" s="18"/>
      <c r="L255" s="19">
        <f t="shared" si="6"/>
        <v>141137.45000000001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141137.45000000001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141137.45000000001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1759603.57</v>
      </c>
      <c r="G257" s="41">
        <f t="shared" si="8"/>
        <v>825799.91</v>
      </c>
      <c r="H257" s="41">
        <f t="shared" si="8"/>
        <v>996835.73000000021</v>
      </c>
      <c r="I257" s="41">
        <f t="shared" si="8"/>
        <v>145036.51999999999</v>
      </c>
      <c r="J257" s="41">
        <f t="shared" si="8"/>
        <v>114529.54</v>
      </c>
      <c r="K257" s="41">
        <f t="shared" si="8"/>
        <v>5255.42</v>
      </c>
      <c r="L257" s="41">
        <f t="shared" si="8"/>
        <v>3847060.6900000009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237107.9</v>
      </c>
      <c r="L260" s="19">
        <f>SUM(F260:K260)</f>
        <v>237107.9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23118.03</v>
      </c>
      <c r="L261" s="19">
        <f>SUM(F261:K261)</f>
        <v>23118.03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57500</v>
      </c>
      <c r="L266" s="19">
        <f t="shared" si="9"/>
        <v>57500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337725.93</v>
      </c>
      <c r="L270" s="41">
        <f t="shared" si="9"/>
        <v>337725.93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1759603.57</v>
      </c>
      <c r="G271" s="42">
        <f t="shared" si="11"/>
        <v>825799.91</v>
      </c>
      <c r="H271" s="42">
        <f t="shared" si="11"/>
        <v>996835.73000000021</v>
      </c>
      <c r="I271" s="42">
        <f t="shared" si="11"/>
        <v>145036.51999999999</v>
      </c>
      <c r="J271" s="42">
        <f t="shared" si="11"/>
        <v>114529.54</v>
      </c>
      <c r="K271" s="42">
        <f t="shared" si="11"/>
        <v>342981.35</v>
      </c>
      <c r="L271" s="42">
        <f t="shared" si="11"/>
        <v>4184786.620000001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22511.84</v>
      </c>
      <c r="G276" s="18">
        <v>11570.75</v>
      </c>
      <c r="H276" s="18">
        <v>1256.23</v>
      </c>
      <c r="I276" s="18">
        <v>15396.08</v>
      </c>
      <c r="J276" s="18">
        <v>2548.38</v>
      </c>
      <c r="K276" s="18"/>
      <c r="L276" s="19">
        <f>SUM(F276:K276)</f>
        <v>53283.28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1407.95</v>
      </c>
      <c r="J279" s="18"/>
      <c r="K279" s="18"/>
      <c r="L279" s="19">
        <f>SUM(F279:K279)</f>
        <v>1407.95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1993.47</v>
      </c>
      <c r="G283" s="18"/>
      <c r="H283" s="18"/>
      <c r="I283" s="18">
        <v>500</v>
      </c>
      <c r="J283" s="18"/>
      <c r="K283" s="18">
        <v>108.88</v>
      </c>
      <c r="L283" s="19">
        <f t="shared" si="12"/>
        <v>2602.3500000000004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1445.43</v>
      </c>
      <c r="L285" s="19">
        <f t="shared" si="12"/>
        <v>1445.43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1139.0999999999999</v>
      </c>
      <c r="I286" s="18"/>
      <c r="J286" s="18"/>
      <c r="K286" s="18"/>
      <c r="L286" s="19">
        <f t="shared" si="12"/>
        <v>1139.0999999999999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24505.31</v>
      </c>
      <c r="G290" s="42">
        <f t="shared" si="13"/>
        <v>11570.75</v>
      </c>
      <c r="H290" s="42">
        <f t="shared" si="13"/>
        <v>2395.33</v>
      </c>
      <c r="I290" s="42">
        <f t="shared" si="13"/>
        <v>17304.03</v>
      </c>
      <c r="J290" s="42">
        <f t="shared" si="13"/>
        <v>2548.38</v>
      </c>
      <c r="K290" s="42">
        <f t="shared" si="13"/>
        <v>1554.31</v>
      </c>
      <c r="L290" s="41">
        <f t="shared" si="13"/>
        <v>59878.109999999993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24505.31</v>
      </c>
      <c r="G338" s="41">
        <f t="shared" si="20"/>
        <v>11570.75</v>
      </c>
      <c r="H338" s="41">
        <f t="shared" si="20"/>
        <v>2395.33</v>
      </c>
      <c r="I338" s="41">
        <f t="shared" si="20"/>
        <v>17304.03</v>
      </c>
      <c r="J338" s="41">
        <f t="shared" si="20"/>
        <v>2548.38</v>
      </c>
      <c r="K338" s="41">
        <f t="shared" si="20"/>
        <v>1554.31</v>
      </c>
      <c r="L338" s="41">
        <f t="shared" si="20"/>
        <v>59878.109999999993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24505.31</v>
      </c>
      <c r="G352" s="41">
        <f>G338</f>
        <v>11570.75</v>
      </c>
      <c r="H352" s="41">
        <f>H338</f>
        <v>2395.33</v>
      </c>
      <c r="I352" s="41">
        <f>I338</f>
        <v>17304.03</v>
      </c>
      <c r="J352" s="41">
        <f>J338</f>
        <v>2548.38</v>
      </c>
      <c r="K352" s="47">
        <f>K338+K351</f>
        <v>1554.31</v>
      </c>
      <c r="L352" s="41">
        <f>L338+L351</f>
        <v>59878.109999999993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73505.02</v>
      </c>
      <c r="I358" s="18"/>
      <c r="J358" s="18"/>
      <c r="K358" s="18"/>
      <c r="L358" s="13">
        <f>SUM(F358:K358)</f>
        <v>73505.02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73505.02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73505.02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50000</v>
      </c>
      <c r="H388" s="18">
        <v>463</v>
      </c>
      <c r="I388" s="18"/>
      <c r="J388" s="24" t="s">
        <v>289</v>
      </c>
      <c r="K388" s="24" t="s">
        <v>289</v>
      </c>
      <c r="L388" s="56">
        <f t="shared" si="25"/>
        <v>50463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463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50463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162</v>
      </c>
      <c r="I397" s="18"/>
      <c r="J397" s="24" t="s">
        <v>289</v>
      </c>
      <c r="K397" s="24" t="s">
        <v>289</v>
      </c>
      <c r="L397" s="56">
        <f t="shared" si="26"/>
        <v>162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7500</v>
      </c>
      <c r="H399" s="18">
        <v>235</v>
      </c>
      <c r="I399" s="18"/>
      <c r="J399" s="24" t="s">
        <v>289</v>
      </c>
      <c r="K399" s="24" t="s">
        <v>289</v>
      </c>
      <c r="L399" s="56">
        <f t="shared" si="26"/>
        <v>7735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</v>
      </c>
      <c r="H401" s="47">
        <f>SUM(H395:H400)</f>
        <v>397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7897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57500</v>
      </c>
      <c r="H408" s="47">
        <f>H393+H401+H407</f>
        <v>860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58360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153763.57</v>
      </c>
      <c r="G440" s="18">
        <v>148250.97</v>
      </c>
      <c r="H440" s="18"/>
      <c r="I440" s="56">
        <f t="shared" si="33"/>
        <v>302014.54000000004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153763.57</v>
      </c>
      <c r="G446" s="13">
        <f>SUM(G439:G445)</f>
        <v>148250.97</v>
      </c>
      <c r="H446" s="13">
        <f>SUM(H439:H445)</f>
        <v>0</v>
      </c>
      <c r="I446" s="13">
        <f>SUM(I439:I445)</f>
        <v>302014.54000000004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153763.57</v>
      </c>
      <c r="G459" s="18">
        <v>148250.97</v>
      </c>
      <c r="H459" s="18"/>
      <c r="I459" s="56">
        <f t="shared" si="34"/>
        <v>302014.54000000004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153763.57</v>
      </c>
      <c r="G460" s="83">
        <f>SUM(G454:G459)</f>
        <v>148250.97</v>
      </c>
      <c r="H460" s="83">
        <f>SUM(H454:H459)</f>
        <v>0</v>
      </c>
      <c r="I460" s="83">
        <f>SUM(I454:I459)</f>
        <v>302014.54000000004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153763.57</v>
      </c>
      <c r="G461" s="42">
        <f>G452+G460</f>
        <v>148250.97</v>
      </c>
      <c r="H461" s="42">
        <f>H452+H460</f>
        <v>0</v>
      </c>
      <c r="I461" s="42">
        <f>I452+I460</f>
        <v>302014.54000000004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151761.26999999999</v>
      </c>
      <c r="G465" s="18"/>
      <c r="H465" s="18"/>
      <c r="I465" s="18"/>
      <c r="J465" s="18">
        <v>243654.54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4334328.41</v>
      </c>
      <c r="G468" s="18">
        <v>73664.22</v>
      </c>
      <c r="H468" s="18">
        <v>59878.11</v>
      </c>
      <c r="I468" s="18"/>
      <c r="J468" s="18">
        <v>58360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4334328.41</v>
      </c>
      <c r="G470" s="53">
        <f>SUM(G468:G469)</f>
        <v>73664.22</v>
      </c>
      <c r="H470" s="53">
        <f>SUM(H468:H469)</f>
        <v>59878.11</v>
      </c>
      <c r="I470" s="53">
        <f>SUM(I468:I469)</f>
        <v>0</v>
      </c>
      <c r="J470" s="53">
        <f>SUM(J468:J469)</f>
        <v>58360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4184786.62</v>
      </c>
      <c r="G472" s="18">
        <v>73505.02</v>
      </c>
      <c r="H472" s="18">
        <v>59878.11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4184786.62</v>
      </c>
      <c r="G474" s="53">
        <f>SUM(G472:G473)</f>
        <v>73505.02</v>
      </c>
      <c r="H474" s="53">
        <f>SUM(H472:H473)</f>
        <v>59878.11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301303.05999999959</v>
      </c>
      <c r="G476" s="53">
        <f>(G465+G470)- G474</f>
        <v>159.19999999999709</v>
      </c>
      <c r="H476" s="53">
        <f>(H465+H470)- H474</f>
        <v>0</v>
      </c>
      <c r="I476" s="53">
        <f>(I465+I470)- I474</f>
        <v>0</v>
      </c>
      <c r="J476" s="53">
        <f>(J465+J470)- J474</f>
        <v>302014.54000000004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2371079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711323.7</v>
      </c>
      <c r="G495" s="18"/>
      <c r="H495" s="18"/>
      <c r="I495" s="18"/>
      <c r="J495" s="18"/>
      <c r="K495" s="53">
        <f>SUM(F495:J495)</f>
        <v>711323.7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237107.9</v>
      </c>
      <c r="G497" s="18"/>
      <c r="H497" s="18"/>
      <c r="I497" s="18"/>
      <c r="J497" s="18"/>
      <c r="K497" s="53">
        <f t="shared" si="35"/>
        <v>237107.9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474215.58</v>
      </c>
      <c r="G498" s="204"/>
      <c r="H498" s="204"/>
      <c r="I498" s="204"/>
      <c r="J498" s="204"/>
      <c r="K498" s="205">
        <f t="shared" si="35"/>
        <v>474215.58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18494.41</v>
      </c>
      <c r="G499" s="18"/>
      <c r="H499" s="18"/>
      <c r="I499" s="18"/>
      <c r="J499" s="18"/>
      <c r="K499" s="53">
        <f t="shared" si="35"/>
        <v>18494.41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492709.99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492709.99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237107.9</v>
      </c>
      <c r="G501" s="204"/>
      <c r="H501" s="204"/>
      <c r="I501" s="204"/>
      <c r="J501" s="204"/>
      <c r="K501" s="205">
        <f t="shared" si="35"/>
        <v>237107.9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13870.81</v>
      </c>
      <c r="G502" s="18"/>
      <c r="H502" s="18"/>
      <c r="I502" s="18"/>
      <c r="J502" s="18"/>
      <c r="K502" s="53">
        <f t="shared" si="35"/>
        <v>13870.81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250978.71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250978.71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226581.46</v>
      </c>
      <c r="G521" s="18">
        <v>114095.31</v>
      </c>
      <c r="H521" s="18">
        <v>182928.54</v>
      </c>
      <c r="I521" s="18">
        <v>383.86</v>
      </c>
      <c r="J521" s="18"/>
      <c r="K521" s="18"/>
      <c r="L521" s="88">
        <f>SUM(F521:K521)</f>
        <v>523989.17000000004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226581.46</v>
      </c>
      <c r="G524" s="108">
        <f t="shared" ref="G524:L524" si="36">SUM(G521:G523)</f>
        <v>114095.31</v>
      </c>
      <c r="H524" s="108">
        <f t="shared" si="36"/>
        <v>182928.54</v>
      </c>
      <c r="I524" s="108">
        <f t="shared" si="36"/>
        <v>383.86</v>
      </c>
      <c r="J524" s="108">
        <f t="shared" si="36"/>
        <v>0</v>
      </c>
      <c r="K524" s="108">
        <f t="shared" si="36"/>
        <v>0</v>
      </c>
      <c r="L524" s="89">
        <f t="shared" si="36"/>
        <v>523989.17000000004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46912.4</v>
      </c>
      <c r="G526" s="18">
        <v>25725.73</v>
      </c>
      <c r="H526" s="18">
        <v>142425.16</v>
      </c>
      <c r="I526" s="18">
        <v>4144.41</v>
      </c>
      <c r="J526" s="18"/>
      <c r="K526" s="18"/>
      <c r="L526" s="88">
        <f>SUM(F526:K526)</f>
        <v>219207.7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46912.4</v>
      </c>
      <c r="G529" s="89">
        <f t="shared" ref="G529:L529" si="37">SUM(G526:G528)</f>
        <v>25725.73</v>
      </c>
      <c r="H529" s="89">
        <f t="shared" si="37"/>
        <v>142425.16</v>
      </c>
      <c r="I529" s="89">
        <f t="shared" si="37"/>
        <v>4144.41</v>
      </c>
      <c r="J529" s="89">
        <f t="shared" si="37"/>
        <v>0</v>
      </c>
      <c r="K529" s="89">
        <f t="shared" si="37"/>
        <v>0</v>
      </c>
      <c r="L529" s="89">
        <f t="shared" si="37"/>
        <v>219207.7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20016.54</v>
      </c>
      <c r="G531" s="18">
        <v>8111.43</v>
      </c>
      <c r="H531" s="18">
        <v>265.99</v>
      </c>
      <c r="I531" s="18"/>
      <c r="J531" s="18"/>
      <c r="K531" s="18"/>
      <c r="L531" s="88">
        <f>SUM(F531:K531)</f>
        <v>28393.960000000003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20016.54</v>
      </c>
      <c r="G534" s="89">
        <f t="shared" ref="G534:L534" si="38">SUM(G531:G533)</f>
        <v>8111.43</v>
      </c>
      <c r="H534" s="89">
        <f t="shared" si="38"/>
        <v>265.99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28393.960000000003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42707</v>
      </c>
      <c r="I541" s="18"/>
      <c r="J541" s="18"/>
      <c r="K541" s="18"/>
      <c r="L541" s="88">
        <f>SUM(F541:K541)</f>
        <v>42707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42707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42707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293510.39999999997</v>
      </c>
      <c r="G545" s="89">
        <f t="shared" ref="G545:L545" si="41">G524+G529+G534+G539+G544</f>
        <v>147932.47</v>
      </c>
      <c r="H545" s="89">
        <f t="shared" si="41"/>
        <v>368326.69</v>
      </c>
      <c r="I545" s="89">
        <f t="shared" si="41"/>
        <v>4528.2699999999995</v>
      </c>
      <c r="J545" s="89">
        <f t="shared" si="41"/>
        <v>0</v>
      </c>
      <c r="K545" s="89">
        <f t="shared" si="41"/>
        <v>0</v>
      </c>
      <c r="L545" s="89">
        <f t="shared" si="41"/>
        <v>814297.83000000007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523989.17000000004</v>
      </c>
      <c r="G549" s="87">
        <f>L526</f>
        <v>219207.7</v>
      </c>
      <c r="H549" s="87">
        <f>L531</f>
        <v>28393.960000000003</v>
      </c>
      <c r="I549" s="87">
        <f>L536</f>
        <v>0</v>
      </c>
      <c r="J549" s="87">
        <f>L541</f>
        <v>42707</v>
      </c>
      <c r="K549" s="87">
        <f>SUM(F549:J549)</f>
        <v>814297.83000000007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523989.17000000004</v>
      </c>
      <c r="G552" s="89">
        <f t="shared" si="42"/>
        <v>219207.7</v>
      </c>
      <c r="H552" s="89">
        <f t="shared" si="42"/>
        <v>28393.960000000003</v>
      </c>
      <c r="I552" s="89">
        <f t="shared" si="42"/>
        <v>0</v>
      </c>
      <c r="J552" s="89">
        <f t="shared" si="42"/>
        <v>42707</v>
      </c>
      <c r="K552" s="89">
        <f t="shared" si="42"/>
        <v>814297.83000000007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8550</v>
      </c>
      <c r="G562" s="18">
        <v>654.09</v>
      </c>
      <c r="H562" s="18"/>
      <c r="I562" s="18"/>
      <c r="J562" s="18"/>
      <c r="K562" s="18"/>
      <c r="L562" s="88">
        <f>SUM(F562:K562)</f>
        <v>9204.09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8550</v>
      </c>
      <c r="G565" s="89">
        <f t="shared" si="44"/>
        <v>654.09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9204.09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2412.7399999999998</v>
      </c>
      <c r="I567" s="18"/>
      <c r="J567" s="18"/>
      <c r="K567" s="18"/>
      <c r="L567" s="88">
        <f>SUM(F567:K567)</f>
        <v>2412.7399999999998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2412.7399999999998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2412.7399999999998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8550</v>
      </c>
      <c r="G571" s="89">
        <f t="shared" ref="G571:L571" si="46">G560+G565+G570</f>
        <v>654.09</v>
      </c>
      <c r="H571" s="89">
        <f t="shared" si="46"/>
        <v>2412.7399999999998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11616.83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130342.78</v>
      </c>
      <c r="G579" s="18"/>
      <c r="H579" s="18"/>
      <c r="I579" s="87">
        <f t="shared" si="47"/>
        <v>130342.78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130461.05</v>
      </c>
      <c r="I591" s="18"/>
      <c r="J591" s="18"/>
      <c r="K591" s="104">
        <f t="shared" ref="K591:K597" si="48">SUM(H591:J591)</f>
        <v>130461.05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42707</v>
      </c>
      <c r="I592" s="18"/>
      <c r="J592" s="18"/>
      <c r="K592" s="104">
        <f t="shared" si="48"/>
        <v>42707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5675</v>
      </c>
      <c r="I594" s="18"/>
      <c r="J594" s="18"/>
      <c r="K594" s="104">
        <f t="shared" si="48"/>
        <v>5675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11398.97</v>
      </c>
      <c r="I595" s="18"/>
      <c r="J595" s="18"/>
      <c r="K595" s="104">
        <f t="shared" si="48"/>
        <v>11398.97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190242.02</v>
      </c>
      <c r="I598" s="108">
        <f>SUM(I591:I597)</f>
        <v>0</v>
      </c>
      <c r="J598" s="108">
        <f>SUM(J591:J597)</f>
        <v>0</v>
      </c>
      <c r="K598" s="108">
        <f>SUM(K591:K597)</f>
        <v>190242.02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117077.92</v>
      </c>
      <c r="I604" s="18"/>
      <c r="J604" s="18"/>
      <c r="K604" s="104">
        <f>SUM(H604:J604)</f>
        <v>117077.92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117077.92</v>
      </c>
      <c r="I605" s="108">
        <f>SUM(I602:I604)</f>
        <v>0</v>
      </c>
      <c r="J605" s="108">
        <f>SUM(J602:J604)</f>
        <v>0</v>
      </c>
      <c r="K605" s="108">
        <f>SUM(K602:K604)</f>
        <v>117077.92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337429.12</v>
      </c>
      <c r="H617" s="109">
        <f>SUM(F52)</f>
        <v>337429.12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2958.6800000000003</v>
      </c>
      <c r="H618" s="109">
        <f>SUM(G52)</f>
        <v>2958.68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196.43000000000029</v>
      </c>
      <c r="H619" s="109">
        <f>SUM(H52)</f>
        <v>196.43</v>
      </c>
      <c r="I619" s="121" t="s">
        <v>893</v>
      </c>
      <c r="J619" s="109">
        <f>G619-H619</f>
        <v>2.8421709430404007E-13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302014.54000000004</v>
      </c>
      <c r="H621" s="109">
        <f>SUM(J52)</f>
        <v>302014.54000000004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301303.06</v>
      </c>
      <c r="H622" s="109">
        <f>F476</f>
        <v>301303.05999999959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159.19999999999999</v>
      </c>
      <c r="H623" s="109">
        <f>G476</f>
        <v>159.19999999999709</v>
      </c>
      <c r="I623" s="121" t="s">
        <v>102</v>
      </c>
      <c r="J623" s="109">
        <f t="shared" si="50"/>
        <v>2.8990143619012088E-12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302014.54000000004</v>
      </c>
      <c r="H626" s="109">
        <f>J476</f>
        <v>302014.54000000004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4334328.41</v>
      </c>
      <c r="H627" s="104">
        <f>SUM(F468)</f>
        <v>4334328.41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73664.22</v>
      </c>
      <c r="H628" s="104">
        <f>SUM(G468)</f>
        <v>73664.22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59878.11</v>
      </c>
      <c r="H629" s="104">
        <f>SUM(H468)</f>
        <v>59878.11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58360</v>
      </c>
      <c r="H631" s="104">
        <f>SUM(J468)</f>
        <v>58360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4184786.620000001</v>
      </c>
      <c r="H632" s="104">
        <f>SUM(F472)</f>
        <v>4184786.62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59878.109999999993</v>
      </c>
      <c r="H633" s="104">
        <f>SUM(H472)</f>
        <v>59878.11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73505.02</v>
      </c>
      <c r="H635" s="104">
        <f>SUM(G472)</f>
        <v>73505.02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58360</v>
      </c>
      <c r="H637" s="164">
        <f>SUM(J468)</f>
        <v>58360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153763.57</v>
      </c>
      <c r="H639" s="104">
        <f>SUM(F461)</f>
        <v>153763.57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148250.97</v>
      </c>
      <c r="H640" s="104">
        <f>SUM(G461)</f>
        <v>148250.97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302014.54000000004</v>
      </c>
      <c r="H642" s="104">
        <f>SUM(I461)</f>
        <v>302014.54000000004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860</v>
      </c>
      <c r="H644" s="104">
        <f>H408</f>
        <v>860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57500</v>
      </c>
      <c r="H645" s="104">
        <f>G408</f>
        <v>57500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58360</v>
      </c>
      <c r="H646" s="104">
        <f>L408</f>
        <v>58360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190242.02</v>
      </c>
      <c r="H647" s="104">
        <f>L208+L226+L244</f>
        <v>190242.02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117077.92</v>
      </c>
      <c r="H648" s="104">
        <f>(J257+J338)-(J255+J336)</f>
        <v>117077.92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190242.02</v>
      </c>
      <c r="H649" s="104">
        <f>H598</f>
        <v>190242.02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20000</v>
      </c>
      <c r="H652" s="104">
        <f>K263+K345</f>
        <v>20000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57500</v>
      </c>
      <c r="H655" s="104">
        <f>K266+K347</f>
        <v>57500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3839306.3700000006</v>
      </c>
      <c r="G660" s="19">
        <f>(L229+L309+L359)</f>
        <v>0</v>
      </c>
      <c r="H660" s="19">
        <f>(L247+L328+L360)</f>
        <v>0</v>
      </c>
      <c r="I660" s="19">
        <f>SUM(F660:H660)</f>
        <v>3839306.3700000006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29367.759999999998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29367.759999999998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190242.02</v>
      </c>
      <c r="G662" s="19">
        <f>(L226+L306)-(J226+J306)</f>
        <v>0</v>
      </c>
      <c r="H662" s="19">
        <f>(L244+L325)-(J244+J325)</f>
        <v>0</v>
      </c>
      <c r="I662" s="19">
        <f>SUM(F662:H662)</f>
        <v>190242.02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247420.7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247420.7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3372275.8900000006</v>
      </c>
      <c r="G664" s="19">
        <f>G660-SUM(G661:G663)</f>
        <v>0</v>
      </c>
      <c r="H664" s="19">
        <f>H660-SUM(H661:H663)</f>
        <v>0</v>
      </c>
      <c r="I664" s="19">
        <f>I660-SUM(I661:I663)</f>
        <v>3372275.8900000006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154.30000000000001</v>
      </c>
      <c r="G665" s="248"/>
      <c r="H665" s="248"/>
      <c r="I665" s="19">
        <f>SUM(F665:H665)</f>
        <v>154.30000000000001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21855.32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21855.32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21855.32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21855.32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Holderness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1066385.49</v>
      </c>
      <c r="C9" s="229">
        <f>'DOE25'!G197+'DOE25'!G215+'DOE25'!G233+'DOE25'!G276+'DOE25'!G295+'DOE25'!G314</f>
        <v>449624.31</v>
      </c>
    </row>
    <row r="10" spans="1:3" x14ac:dyDescent="0.2">
      <c r="A10" t="s">
        <v>779</v>
      </c>
      <c r="B10" s="240">
        <v>1015979.29</v>
      </c>
      <c r="C10" s="240">
        <v>443552.47</v>
      </c>
    </row>
    <row r="11" spans="1:3" x14ac:dyDescent="0.2">
      <c r="A11" t="s">
        <v>780</v>
      </c>
      <c r="B11" s="240">
        <v>19085.009999999998</v>
      </c>
      <c r="C11" s="240">
        <v>3373.41</v>
      </c>
    </row>
    <row r="12" spans="1:3" x14ac:dyDescent="0.2">
      <c r="A12" t="s">
        <v>781</v>
      </c>
      <c r="B12" s="240">
        <v>31321.19</v>
      </c>
      <c r="C12" s="240">
        <v>2698.43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1066385.49</v>
      </c>
      <c r="C13" s="231">
        <f>SUM(C10:C12)</f>
        <v>449624.30999999994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235131.46</v>
      </c>
      <c r="C18" s="229">
        <f>'DOE25'!G198+'DOE25'!G216+'DOE25'!G234+'DOE25'!G277+'DOE25'!G296+'DOE25'!G315</f>
        <v>114749.4</v>
      </c>
    </row>
    <row r="19" spans="1:3" x14ac:dyDescent="0.2">
      <c r="A19" t="s">
        <v>779</v>
      </c>
      <c r="B19" s="240">
        <v>131489</v>
      </c>
      <c r="C19" s="240">
        <v>71936.23</v>
      </c>
    </row>
    <row r="20" spans="1:3" x14ac:dyDescent="0.2">
      <c r="A20" t="s">
        <v>780</v>
      </c>
      <c r="B20" s="240">
        <v>90517.46</v>
      </c>
      <c r="C20" s="240">
        <v>41378.51</v>
      </c>
    </row>
    <row r="21" spans="1:3" x14ac:dyDescent="0.2">
      <c r="A21" t="s">
        <v>781</v>
      </c>
      <c r="B21" s="240">
        <v>13125</v>
      </c>
      <c r="C21" s="240">
        <v>1434.66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235131.46000000002</v>
      </c>
      <c r="C22" s="231">
        <f>SUM(C19:C21)</f>
        <v>114749.4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41808.5</v>
      </c>
      <c r="C36" s="235">
        <f>'DOE25'!G200+'DOE25'!G218+'DOE25'!G236+'DOE25'!G279+'DOE25'!G298+'DOE25'!G317</f>
        <v>7055.75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41808.5</v>
      </c>
      <c r="C39" s="240">
        <v>7055.75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41808.5</v>
      </c>
      <c r="C40" s="231">
        <f>SUM(C37:C39)</f>
        <v>7055.75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Holderness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2205375.5600000005</v>
      </c>
      <c r="D5" s="20">
        <f>SUM('DOE25'!L197:L200)+SUM('DOE25'!L215:L218)+SUM('DOE25'!L233:L236)-F5-G5</f>
        <v>2116826.0200000005</v>
      </c>
      <c r="E5" s="243"/>
      <c r="F5" s="255">
        <f>SUM('DOE25'!J197:J200)+SUM('DOE25'!J215:J218)+SUM('DOE25'!J233:J236)</f>
        <v>88029.54</v>
      </c>
      <c r="G5" s="53">
        <f>SUM('DOE25'!K197:K200)+SUM('DOE25'!K215:K218)+SUM('DOE25'!K233:K236)</f>
        <v>520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272441.26999999996</v>
      </c>
      <c r="D6" s="20">
        <f>'DOE25'!L202+'DOE25'!L220+'DOE25'!L238-F6-G6</f>
        <v>272325.17</v>
      </c>
      <c r="E6" s="243"/>
      <c r="F6" s="255">
        <f>'DOE25'!J202+'DOE25'!J220+'DOE25'!J238</f>
        <v>0</v>
      </c>
      <c r="G6" s="53">
        <f>'DOE25'!K202+'DOE25'!K220+'DOE25'!K238</f>
        <v>116.1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146482.79999999999</v>
      </c>
      <c r="D7" s="20">
        <f>'DOE25'!L203+'DOE25'!L221+'DOE25'!L239-F7-G7</f>
        <v>146482.79999999999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135959.71999999997</v>
      </c>
      <c r="D8" s="243"/>
      <c r="E8" s="20">
        <f>'DOE25'!L204+'DOE25'!L222+'DOE25'!L240-F8-G8-D9-D11</f>
        <v>133304.47999999998</v>
      </c>
      <c r="F8" s="255">
        <f>'DOE25'!J204+'DOE25'!J222+'DOE25'!J240</f>
        <v>0</v>
      </c>
      <c r="G8" s="53">
        <f>'DOE25'!K204+'DOE25'!K222+'DOE25'!K240</f>
        <v>2655.24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14475.67</v>
      </c>
      <c r="D9" s="244">
        <v>14475.67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92822.28</v>
      </c>
      <c r="D11" s="244">
        <v>92822.28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286599.95</v>
      </c>
      <c r="D12" s="20">
        <f>'DOE25'!L205+'DOE25'!L223+'DOE25'!L241-F12-G12</f>
        <v>284635.87</v>
      </c>
      <c r="E12" s="243"/>
      <c r="F12" s="255">
        <f>'DOE25'!J205+'DOE25'!J223+'DOE25'!J241</f>
        <v>0</v>
      </c>
      <c r="G12" s="53">
        <f>'DOE25'!K205+'DOE25'!K223+'DOE25'!K241</f>
        <v>1964.08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299.25</v>
      </c>
      <c r="D13" s="243"/>
      <c r="E13" s="20">
        <f>'DOE25'!L206+'DOE25'!L224+'DOE25'!L242-F13-G13</f>
        <v>299.25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361224.72</v>
      </c>
      <c r="D14" s="20">
        <f>'DOE25'!L207+'DOE25'!L225+'DOE25'!L243-F14-G14</f>
        <v>334724.71999999997</v>
      </c>
      <c r="E14" s="243"/>
      <c r="F14" s="255">
        <f>'DOE25'!J207+'DOE25'!J225+'DOE25'!J243</f>
        <v>26500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190242.02</v>
      </c>
      <c r="D15" s="20">
        <f>'DOE25'!L208+'DOE25'!L226+'DOE25'!L244-F15-G15</f>
        <v>190242.02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141137.45000000001</v>
      </c>
      <c r="D22" s="243"/>
      <c r="E22" s="243"/>
      <c r="F22" s="255">
        <f>'DOE25'!L255+'DOE25'!L336</f>
        <v>141137.45000000001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260225.93</v>
      </c>
      <c r="D25" s="243"/>
      <c r="E25" s="243"/>
      <c r="F25" s="258"/>
      <c r="G25" s="256"/>
      <c r="H25" s="257">
        <f>'DOE25'!L260+'DOE25'!L261+'DOE25'!L341+'DOE25'!L342</f>
        <v>260225.93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73505.02</v>
      </c>
      <c r="D29" s="20">
        <f>'DOE25'!L358+'DOE25'!L359+'DOE25'!L360-'DOE25'!I367-F29-G29</f>
        <v>73505.02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59878.109999999993</v>
      </c>
      <c r="D31" s="20">
        <f>'DOE25'!L290+'DOE25'!L309+'DOE25'!L328+'DOE25'!L333+'DOE25'!L334+'DOE25'!L335-F31-G31</f>
        <v>55775.42</v>
      </c>
      <c r="E31" s="243"/>
      <c r="F31" s="255">
        <f>'DOE25'!J290+'DOE25'!J309+'DOE25'!J328+'DOE25'!J333+'DOE25'!J334+'DOE25'!J335</f>
        <v>2548.38</v>
      </c>
      <c r="G31" s="53">
        <f>'DOE25'!K290+'DOE25'!K309+'DOE25'!K328+'DOE25'!K333+'DOE25'!K334+'DOE25'!K335</f>
        <v>1554.31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3581814.99</v>
      </c>
      <c r="E33" s="246">
        <f>SUM(E5:E31)</f>
        <v>137603.72999999998</v>
      </c>
      <c r="F33" s="246">
        <f>SUM(F5:F31)</f>
        <v>258215.37</v>
      </c>
      <c r="G33" s="246">
        <f>SUM(G5:G31)</f>
        <v>6809.73</v>
      </c>
      <c r="H33" s="246">
        <f>SUM(H5:H31)</f>
        <v>260225.93</v>
      </c>
    </row>
    <row r="35" spans="2:8" ht="12" thickBot="1" x14ac:dyDescent="0.25">
      <c r="B35" s="253" t="s">
        <v>847</v>
      </c>
      <c r="D35" s="254">
        <f>E33</f>
        <v>137603.72999999998</v>
      </c>
      <c r="E35" s="249"/>
    </row>
    <row r="36" spans="2:8" ht="12" thickTop="1" x14ac:dyDescent="0.2">
      <c r="B36" t="s">
        <v>815</v>
      </c>
      <c r="D36" s="20">
        <f>D33</f>
        <v>3581814.99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5" activePane="bottomLeft" state="frozen"/>
      <selection activeCell="F46" sqref="F46"/>
      <selection pane="bottomLeft" activeCell="C166" sqref="C16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329034.43</v>
      </c>
      <c r="D8" s="95">
        <f>'DOE25'!G9</f>
        <v>-1084.53</v>
      </c>
      <c r="E8" s="95">
        <f>'DOE25'!H9</f>
        <v>-10305.34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302014.54000000004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3692.24</v>
      </c>
      <c r="D12" s="95">
        <f>'DOE25'!G13</f>
        <v>4043.21</v>
      </c>
      <c r="E12" s="95">
        <f>'DOE25'!H13</f>
        <v>10501.77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4702.45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337429.12</v>
      </c>
      <c r="D18" s="41">
        <f>SUM(D8:D17)</f>
        <v>2958.6800000000003</v>
      </c>
      <c r="E18" s="41">
        <f>SUM(E8:E17)</f>
        <v>196.43000000000029</v>
      </c>
      <c r="F18" s="41">
        <f>SUM(F8:F17)</f>
        <v>0</v>
      </c>
      <c r="G18" s="41">
        <f>SUM(G8:G17)</f>
        <v>302014.54000000004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36126.06</v>
      </c>
      <c r="D23" s="95">
        <f>'DOE25'!G24</f>
        <v>2799.48</v>
      </c>
      <c r="E23" s="95">
        <f>'DOE25'!H24</f>
        <v>196.43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36126.06</v>
      </c>
      <c r="D31" s="41">
        <f>SUM(D21:D30)</f>
        <v>2799.48</v>
      </c>
      <c r="E31" s="41">
        <f>SUM(E21:E30)</f>
        <v>196.43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50542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104032.1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159.19999999999999</v>
      </c>
      <c r="E47" s="95">
        <f>'DOE25'!H48</f>
        <v>0</v>
      </c>
      <c r="F47" s="95">
        <f>'DOE25'!I48</f>
        <v>0</v>
      </c>
      <c r="G47" s="95">
        <f>'DOE25'!J48</f>
        <v>302014.54000000004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120100.72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26628.240000000002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301303.06</v>
      </c>
      <c r="D50" s="41">
        <f>SUM(D34:D49)</f>
        <v>159.19999999999999</v>
      </c>
      <c r="E50" s="41">
        <f>SUM(E34:E49)</f>
        <v>0</v>
      </c>
      <c r="F50" s="41">
        <f>SUM(F34:F49)</f>
        <v>0</v>
      </c>
      <c r="G50" s="41">
        <f>SUM(G34:G49)</f>
        <v>302014.54000000004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337429.12</v>
      </c>
      <c r="D51" s="41">
        <f>D50+D31</f>
        <v>2958.68</v>
      </c>
      <c r="E51" s="41">
        <f>E50+E31</f>
        <v>196.43</v>
      </c>
      <c r="F51" s="41">
        <f>F50+F31</f>
        <v>0</v>
      </c>
      <c r="G51" s="41">
        <f>G50+G31</f>
        <v>302014.54000000004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3042554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45573.84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44.03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860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29367.759999999998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17786.59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63404.459999999992</v>
      </c>
      <c r="D62" s="130">
        <f>SUM(D57:D61)</f>
        <v>29367.759999999998</v>
      </c>
      <c r="E62" s="130">
        <f>SUM(E57:E61)</f>
        <v>0</v>
      </c>
      <c r="F62" s="130">
        <f>SUM(F57:F61)</f>
        <v>0</v>
      </c>
      <c r="G62" s="130">
        <f>SUM(G57:G61)</f>
        <v>860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3105958.46</v>
      </c>
      <c r="D63" s="22">
        <f>D56+D62</f>
        <v>29367.759999999998</v>
      </c>
      <c r="E63" s="22">
        <f>E56+E62</f>
        <v>0</v>
      </c>
      <c r="F63" s="22">
        <f>F56+F62</f>
        <v>0</v>
      </c>
      <c r="G63" s="22">
        <f>G56+G62</f>
        <v>860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1118730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846.89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1119576.8899999999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75159.06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20229.39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864.61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95388.45</v>
      </c>
      <c r="D78" s="130">
        <f>SUM(D72:D77)</f>
        <v>864.61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1214965.3399999999</v>
      </c>
      <c r="D81" s="130">
        <f>SUM(D79:D80)+D78+D70</f>
        <v>864.61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13052.09</v>
      </c>
      <c r="D88" s="95">
        <f>SUM('DOE25'!G153:G161)</f>
        <v>23431.85</v>
      </c>
      <c r="E88" s="95">
        <f>SUM('DOE25'!H153:H161)</f>
        <v>59878.11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352.52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13404.61</v>
      </c>
      <c r="D91" s="131">
        <f>SUM(D85:D90)</f>
        <v>23431.85</v>
      </c>
      <c r="E91" s="131">
        <f>SUM(E85:E90)</f>
        <v>59878.11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57500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57500</v>
      </c>
    </row>
    <row r="104" spans="1:7" ht="12.75" thickTop="1" thickBot="1" x14ac:dyDescent="0.25">
      <c r="A104" s="33" t="s">
        <v>765</v>
      </c>
      <c r="C104" s="86">
        <f>C63+C81+C91+C103</f>
        <v>4334328.41</v>
      </c>
      <c r="D104" s="86">
        <f>D63+D81+D91+D103</f>
        <v>73664.22</v>
      </c>
      <c r="E104" s="86">
        <f>E63+E81+E91+E103</f>
        <v>59878.11</v>
      </c>
      <c r="F104" s="86">
        <f>F63+F81+F91+F103</f>
        <v>0</v>
      </c>
      <c r="G104" s="86">
        <f>G63+G81+G103</f>
        <v>58360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1614135.56</v>
      </c>
      <c r="D109" s="24" t="s">
        <v>289</v>
      </c>
      <c r="E109" s="95">
        <f>('DOE25'!L276)+('DOE25'!L295)+('DOE25'!L314)</f>
        <v>53283.28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533193.26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58046.74</v>
      </c>
      <c r="D112" s="24" t="s">
        <v>289</v>
      </c>
      <c r="E112" s="95">
        <f>+('DOE25'!L279)+('DOE25'!L298)+('DOE25'!L317)</f>
        <v>1407.95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2205375.5600000005</v>
      </c>
      <c r="D115" s="86">
        <f>SUM(D109:D114)</f>
        <v>0</v>
      </c>
      <c r="E115" s="86">
        <f>SUM(E109:E114)</f>
        <v>54691.229999999996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272441.26999999996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146482.79999999999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243257.66999999998</v>
      </c>
      <c r="D120" s="24" t="s">
        <v>289</v>
      </c>
      <c r="E120" s="95">
        <f>+('DOE25'!L283)+('DOE25'!L302)+('DOE25'!L321)</f>
        <v>2602.3500000000004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286599.95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299.25</v>
      </c>
      <c r="D122" s="24" t="s">
        <v>289</v>
      </c>
      <c r="E122" s="95">
        <f>+('DOE25'!L285)+('DOE25'!L304)+('DOE25'!L323)</f>
        <v>1445.43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361224.72</v>
      </c>
      <c r="D123" s="24" t="s">
        <v>289</v>
      </c>
      <c r="E123" s="95">
        <f>+('DOE25'!L286)+('DOE25'!L305)+('DOE25'!L324)</f>
        <v>1139.0999999999999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190242.02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73505.02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1500547.68</v>
      </c>
      <c r="D128" s="86">
        <f>SUM(D118:D127)</f>
        <v>73505.02</v>
      </c>
      <c r="E128" s="86">
        <f>SUM(E118:E127)</f>
        <v>5186.880000000001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141137.45000000001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237107.9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23118.03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50463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7897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-860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478863.38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4184786.62</v>
      </c>
      <c r="D145" s="86">
        <f>(D115+D128+D144)</f>
        <v>73505.02</v>
      </c>
      <c r="E145" s="86">
        <f>(E115+E128+E144)</f>
        <v>59878.11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2371079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711323.7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711323.7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237107.9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237107.9</v>
      </c>
    </row>
    <row r="159" spans="1:9" x14ac:dyDescent="0.2">
      <c r="A159" s="22" t="s">
        <v>35</v>
      </c>
      <c r="B159" s="137">
        <f>'DOE25'!F498</f>
        <v>474215.58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474215.58</v>
      </c>
    </row>
    <row r="160" spans="1:9" x14ac:dyDescent="0.2">
      <c r="A160" s="22" t="s">
        <v>36</v>
      </c>
      <c r="B160" s="137">
        <f>'DOE25'!F499</f>
        <v>18494.41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18494.41</v>
      </c>
    </row>
    <row r="161" spans="1:7" x14ac:dyDescent="0.2">
      <c r="A161" s="22" t="s">
        <v>37</v>
      </c>
      <c r="B161" s="137">
        <f>'DOE25'!F500</f>
        <v>492709.99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492709.99</v>
      </c>
    </row>
    <row r="162" spans="1:7" x14ac:dyDescent="0.2">
      <c r="A162" s="22" t="s">
        <v>38</v>
      </c>
      <c r="B162" s="137">
        <f>'DOE25'!F501</f>
        <v>237107.9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237107.9</v>
      </c>
    </row>
    <row r="163" spans="1:7" x14ac:dyDescent="0.2">
      <c r="A163" s="22" t="s">
        <v>39</v>
      </c>
      <c r="B163" s="137">
        <f>'DOE25'!F502</f>
        <v>13870.81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13870.81</v>
      </c>
    </row>
    <row r="164" spans="1:7" x14ac:dyDescent="0.2">
      <c r="A164" s="22" t="s">
        <v>246</v>
      </c>
      <c r="B164" s="137">
        <f>'DOE25'!F503</f>
        <v>250978.71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250978.71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Holderness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21855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21855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1667419</v>
      </c>
      <c r="D10" s="182">
        <f>ROUND((C10/$C$28)*100,1)</f>
        <v>43.5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533193</v>
      </c>
      <c r="D11" s="182">
        <f>ROUND((C11/$C$28)*100,1)</f>
        <v>13.9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59455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272441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146483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245860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286600</v>
      </c>
      <c r="D18" s="182">
        <f t="shared" si="0"/>
        <v>7.5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1745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362364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190242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23118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44137.240000000005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3833057.24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141137</v>
      </c>
    </row>
    <row r="30" spans="1:4" x14ac:dyDescent="0.2">
      <c r="B30" s="187" t="s">
        <v>729</v>
      </c>
      <c r="C30" s="180">
        <f>SUM(C28:C29)</f>
        <v>3974194.24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237108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3042554</v>
      </c>
      <c r="D35" s="182">
        <f t="shared" ref="D35:D40" si="1">ROUND((C35/$C$41)*100,1)</f>
        <v>68.8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64264.459999999963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1118730</v>
      </c>
      <c r="D37" s="182">
        <f t="shared" si="1"/>
        <v>25.3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97100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96715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4419363.46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Holderness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2016-08-29T12:46:12Z</cp:lastPrinted>
  <dcterms:created xsi:type="dcterms:W3CDTF">1997-12-04T19:04:30Z</dcterms:created>
  <dcterms:modified xsi:type="dcterms:W3CDTF">2016-08-31T15:41:18Z</dcterms:modified>
</cp:coreProperties>
</file>