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270" windowWidth="12735" windowHeight="62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F50" i="1"/>
  <c r="I591" i="1" l="1"/>
  <c r="J591" i="1"/>
  <c r="H244" i="1"/>
  <c r="I592" i="1" l="1"/>
  <c r="J592" i="1"/>
  <c r="C10" i="12" l="1"/>
  <c r="B10" i="12"/>
  <c r="B20" i="12"/>
  <c r="B19" i="12"/>
  <c r="F465" i="1" l="1"/>
  <c r="F472" i="1"/>
  <c r="H243" i="1" l="1"/>
  <c r="H218" i="1"/>
  <c r="H236" i="1"/>
  <c r="H226" i="1"/>
  <c r="J594" i="1"/>
  <c r="J593" i="1"/>
  <c r="I594" i="1"/>
  <c r="I241" i="1"/>
  <c r="H234" i="1"/>
  <c r="F233" i="1" l="1"/>
  <c r="H225" i="1"/>
  <c r="H239" i="1"/>
  <c r="H216" i="1"/>
  <c r="H241" i="1"/>
  <c r="H240" i="1"/>
  <c r="H233" i="1"/>
  <c r="H223" i="1"/>
  <c r="H222" i="1"/>
  <c r="H238" i="1"/>
  <c r="H221" i="1"/>
  <c r="H215" i="1"/>
  <c r="H220" i="1"/>
  <c r="G221" i="1"/>
  <c r="F216" i="1"/>
  <c r="F234" i="1"/>
  <c r="F215" i="1"/>
  <c r="G239" i="1"/>
  <c r="K241" i="1" l="1"/>
  <c r="J604" i="1"/>
  <c r="J239" i="1"/>
  <c r="H400" i="1"/>
  <c r="G459" i="1" l="1"/>
  <c r="H523" i="1" l="1"/>
  <c r="H522" i="1"/>
  <c r="F523" i="1"/>
  <c r="F522" i="1"/>
  <c r="G523" i="1"/>
  <c r="G522" i="1"/>
  <c r="G533" i="1"/>
  <c r="G532" i="1"/>
  <c r="G528" i="1"/>
  <c r="G527" i="1"/>
  <c r="H542" i="1"/>
  <c r="H538" i="1"/>
  <c r="H537" i="1"/>
  <c r="H367" i="1" l="1"/>
  <c r="G367" i="1"/>
  <c r="I359" i="1"/>
  <c r="I360" i="1"/>
  <c r="H360" i="1"/>
  <c r="F360" i="1"/>
  <c r="F359" i="1"/>
  <c r="H320" i="1"/>
  <c r="H301" i="1"/>
  <c r="F301" i="1"/>
  <c r="F320" i="1"/>
  <c r="I243" i="1"/>
  <c r="I225" i="1"/>
  <c r="I223" i="1"/>
  <c r="I239" i="1"/>
  <c r="I238" i="1"/>
  <c r="I221" i="1"/>
  <c r="I233" i="1"/>
  <c r="I215" i="1"/>
  <c r="K242" i="1"/>
  <c r="K224" i="1"/>
  <c r="H22" i="1"/>
  <c r="H23" i="1"/>
  <c r="K426" i="1" l="1"/>
  <c r="H426" i="1"/>
  <c r="G442" i="1"/>
  <c r="H155" i="1" l="1"/>
  <c r="G158" i="1"/>
  <c r="G97" i="1"/>
  <c r="G9" i="1"/>
  <c r="K266" i="1" l="1"/>
  <c r="F101" i="1" l="1"/>
  <c r="F98" i="1"/>
  <c r="F239" i="1" l="1"/>
  <c r="F238" i="1"/>
  <c r="F221" i="1"/>
  <c r="F220" i="1"/>
  <c r="K238" i="1" l="1"/>
  <c r="K236" i="1"/>
  <c r="K233" i="1"/>
  <c r="K218" i="1"/>
  <c r="H50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D50" i="2" s="1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C121" i="2" s="1"/>
  <c r="F14" i="13"/>
  <c r="G14" i="13"/>
  <c r="L207" i="1"/>
  <c r="L225" i="1"/>
  <c r="C123" i="2" s="1"/>
  <c r="L243" i="1"/>
  <c r="F15" i="13"/>
  <c r="G15" i="13"/>
  <c r="L208" i="1"/>
  <c r="L226" i="1"/>
  <c r="G662" i="1" s="1"/>
  <c r="L244" i="1"/>
  <c r="C124" i="2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8" i="1" s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9" i="10"/>
  <c r="L250" i="1"/>
  <c r="L332" i="1"/>
  <c r="L254" i="1"/>
  <c r="C25" i="10"/>
  <c r="L268" i="1"/>
  <c r="L269" i="1"/>
  <c r="L349" i="1"/>
  <c r="L350" i="1"/>
  <c r="I665" i="1"/>
  <c r="I670" i="1"/>
  <c r="L211" i="1"/>
  <c r="F661" i="1"/>
  <c r="G661" i="1"/>
  <c r="H661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E128" i="2" s="1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K257" i="1" s="1"/>
  <c r="K271" i="1" s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J640" i="1" s="1"/>
  <c r="H460" i="1"/>
  <c r="I460" i="1"/>
  <c r="F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5" i="1"/>
  <c r="G649" i="1"/>
  <c r="J649" i="1" s="1"/>
  <c r="G650" i="1"/>
  <c r="G652" i="1"/>
  <c r="H652" i="1"/>
  <c r="G653" i="1"/>
  <c r="H653" i="1"/>
  <c r="G654" i="1"/>
  <c r="H654" i="1"/>
  <c r="H655" i="1"/>
  <c r="F192" i="1"/>
  <c r="L256" i="1"/>
  <c r="G164" i="2"/>
  <c r="C26" i="10"/>
  <c r="L290" i="1"/>
  <c r="F660" i="1" s="1"/>
  <c r="A31" i="12"/>
  <c r="C70" i="2"/>
  <c r="D62" i="2"/>
  <c r="D63" i="2" s="1"/>
  <c r="D18" i="13"/>
  <c r="C18" i="13" s="1"/>
  <c r="D18" i="2"/>
  <c r="D17" i="13"/>
  <c r="C17" i="13" s="1"/>
  <c r="D6" i="13"/>
  <c r="C6" i="13" s="1"/>
  <c r="C91" i="2"/>
  <c r="F78" i="2"/>
  <c r="F81" i="2" s="1"/>
  <c r="D31" i="2"/>
  <c r="C78" i="2"/>
  <c r="C81" i="2" s="1"/>
  <c r="G157" i="2"/>
  <c r="F18" i="2"/>
  <c r="G161" i="2"/>
  <c r="G156" i="2"/>
  <c r="E115" i="2"/>
  <c r="E103" i="2"/>
  <c r="D91" i="2"/>
  <c r="E62" i="2"/>
  <c r="E63" i="2" s="1"/>
  <c r="G62" i="2"/>
  <c r="D29" i="13"/>
  <c r="C29" i="13" s="1"/>
  <c r="D19" i="13"/>
  <c r="C19" i="13" s="1"/>
  <c r="E78" i="2"/>
  <c r="E81" i="2" s="1"/>
  <c r="H112" i="1"/>
  <c r="J641" i="1"/>
  <c r="J639" i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G338" i="1"/>
  <c r="G352" i="1" s="1"/>
  <c r="F169" i="1"/>
  <c r="J140" i="1"/>
  <c r="F571" i="1"/>
  <c r="F664" i="1"/>
  <c r="F672" i="1" s="1"/>
  <c r="C4" i="10" s="1"/>
  <c r="I552" i="1"/>
  <c r="K549" i="1"/>
  <c r="K550" i="1"/>
  <c r="G22" i="2"/>
  <c r="K545" i="1"/>
  <c r="J552" i="1"/>
  <c r="H552" i="1"/>
  <c r="I661" i="1"/>
  <c r="H140" i="1"/>
  <c r="L393" i="1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F552" i="1"/>
  <c r="C35" i="10"/>
  <c r="L309" i="1"/>
  <c r="E16" i="13"/>
  <c r="J655" i="1"/>
  <c r="L570" i="1"/>
  <c r="I571" i="1"/>
  <c r="I545" i="1"/>
  <c r="G36" i="2"/>
  <c r="L565" i="1"/>
  <c r="G545" i="1"/>
  <c r="H545" i="1"/>
  <c r="K551" i="1"/>
  <c r="K552" i="1" s="1"/>
  <c r="C138" i="2"/>
  <c r="L351" i="1" l="1"/>
  <c r="K598" i="1"/>
  <c r="G647" i="1" s="1"/>
  <c r="F112" i="1"/>
  <c r="A13" i="12"/>
  <c r="H662" i="1"/>
  <c r="D15" i="13"/>
  <c r="C15" i="13" s="1"/>
  <c r="G651" i="1"/>
  <c r="J651" i="1" s="1"/>
  <c r="H647" i="1"/>
  <c r="E8" i="13"/>
  <c r="C8" i="13" s="1"/>
  <c r="C21" i="10"/>
  <c r="D12" i="13"/>
  <c r="C12" i="13" s="1"/>
  <c r="C12" i="10"/>
  <c r="H257" i="1"/>
  <c r="H271" i="1" s="1"/>
  <c r="D14" i="13"/>
  <c r="C14" i="13" s="1"/>
  <c r="D5" i="13"/>
  <c r="C5" i="13" s="1"/>
  <c r="C16" i="10"/>
  <c r="G257" i="1"/>
  <c r="G271" i="1" s="1"/>
  <c r="C110" i="2"/>
  <c r="C115" i="2" s="1"/>
  <c r="F257" i="1"/>
  <c r="F271" i="1" s="1"/>
  <c r="C11" i="10"/>
  <c r="L382" i="1"/>
  <c r="G636" i="1" s="1"/>
  <c r="J636" i="1" s="1"/>
  <c r="C29" i="10"/>
  <c r="D7" i="13"/>
  <c r="C7" i="13" s="1"/>
  <c r="F22" i="13"/>
  <c r="C22" i="13" s="1"/>
  <c r="C18" i="2"/>
  <c r="L401" i="1"/>
  <c r="C139" i="2" s="1"/>
  <c r="J645" i="1"/>
  <c r="J623" i="1"/>
  <c r="J617" i="1"/>
  <c r="I461" i="1"/>
  <c r="H642" i="1" s="1"/>
  <c r="E31" i="2"/>
  <c r="L524" i="1"/>
  <c r="L545" i="1" s="1"/>
  <c r="C17" i="10"/>
  <c r="C122" i="2"/>
  <c r="C128" i="2" s="1"/>
  <c r="J622" i="1"/>
  <c r="F667" i="1"/>
  <c r="L362" i="1"/>
  <c r="H33" i="13"/>
  <c r="C62" i="2"/>
  <c r="C63" i="2" s="1"/>
  <c r="I662" i="1"/>
  <c r="C20" i="10"/>
  <c r="E13" i="13"/>
  <c r="C13" i="13" s="1"/>
  <c r="C18" i="10"/>
  <c r="C15" i="10"/>
  <c r="L247" i="1"/>
  <c r="H660" i="1" s="1"/>
  <c r="H664" i="1" s="1"/>
  <c r="I257" i="1"/>
  <c r="I271" i="1" s="1"/>
  <c r="C10" i="10"/>
  <c r="C16" i="13"/>
  <c r="L229" i="1"/>
  <c r="G660" i="1" s="1"/>
  <c r="G664" i="1" s="1"/>
  <c r="G667" i="1" s="1"/>
  <c r="K503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D31" i="13" l="1"/>
  <c r="C31" i="13" s="1"/>
  <c r="J647" i="1"/>
  <c r="L352" i="1"/>
  <c r="G633" i="1" s="1"/>
  <c r="J633" i="1" s="1"/>
  <c r="E33" i="13"/>
  <c r="D35" i="13" s="1"/>
  <c r="F33" i="13"/>
  <c r="C28" i="10"/>
  <c r="D23" i="10" s="1"/>
  <c r="H646" i="1"/>
  <c r="J646" i="1" s="1"/>
  <c r="C145" i="2"/>
  <c r="C104" i="2"/>
  <c r="L257" i="1"/>
  <c r="L271" i="1" s="1"/>
  <c r="G632" i="1" s="1"/>
  <c r="J632" i="1" s="1"/>
  <c r="H667" i="1"/>
  <c r="H672" i="1"/>
  <c r="C6" i="10" s="1"/>
  <c r="G672" i="1"/>
  <c r="C5" i="10" s="1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4" i="10"/>
  <c r="D17" i="10" l="1"/>
  <c r="D12" i="10"/>
  <c r="D27" i="10"/>
  <c r="D18" i="10"/>
  <c r="D15" i="10"/>
  <c r="D19" i="10"/>
  <c r="D20" i="10"/>
  <c r="D25" i="10"/>
  <c r="D10" i="10"/>
  <c r="D13" i="10"/>
  <c r="D26" i="10"/>
  <c r="D11" i="10"/>
  <c r="C30" i="10"/>
  <c r="D21" i="10"/>
  <c r="D16" i="10"/>
  <c r="D2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<sst xmlns="http://schemas.openxmlformats.org/spreadsheetml/2006/main" count="3964" uniqueCount="920">
  <si>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</si>
  <si>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</si>
  <si>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</si>
  <si>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</si>
  <si>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</si>
  <si>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</si>
  <si>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</si>
  <si>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</si>
  <si>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</si>
  <si>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</si>
  <si>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</si>
  <si>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</si>
  <si>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</si>
  <si>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</si>
  <si>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</si>
  <si>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</si>
  <si>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</si>
  <si>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</si>
  <si>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</si>
  <si>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</si>
  <si>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</si>
  <si>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</si>
  <si>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</si>
  <si>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</si>
  <si>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</si>
  <si>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</si>
  <si>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</si>
  <si>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</si>
  <si>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</si>
  <si>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</si>
  <si>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</si>
  <si>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</si>
  <si>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</si>
  <si>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</si>
  <si>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</si>
  <si>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</si>
  <si>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</si>
  <si>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</si>
  <si>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</si>
  <si>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</si>
  <si>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</si>
  <si>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</si>
  <si>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</si>
  <si>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</si>
  <si>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</si>
  <si>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</si>
  <si>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</si>
  <si>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</si>
  <si>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</si>
  <si>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</si>
  <si>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</si>
  <si>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</si>
  <si>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</si>
  <si>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</si>
  <si>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</si>
  <si>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</si>
  <si>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</si>
  <si>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</si>
  <si>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</si>
  <si>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</si>
  <si>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</si>
  <si>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</si>
  <si>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</si>
  <si>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</si>
  <si>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</si>
  <si>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</si>
  <si>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</si>
  <si>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</si>
  <si>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</si>
  <si>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</si>
  <si>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</si>
  <si>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</si>
  <si>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</si>
  <si>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</si>
  <si>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</si>
  <si>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</si>
  <si>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</si>
  <si>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</si>
  <si>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</si>
  <si>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</si>
  <si>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</si>
  <si>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</si>
  <si>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</si>
  <si>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</si>
  <si>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</si>
  <si>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</si>
  <si>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</si>
  <si>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</si>
  <si>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</si>
  <si>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</si>
  <si>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</si>
  <si>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</si>
  <si>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</si>
  <si>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</si>
  <si>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</si>
  <si>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</si>
  <si>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</si>
  <si>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</si>
  <si>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</si>
  <si>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</si>
  <si>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</si>
  <si>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</si>
  <si>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</si>
  <si>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</si>
  <si>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</si>
  <si>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</si>
  <si>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</si>
  <si>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</si>
  <si>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</si>
  <si>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</si>
  <si>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</si>
  <si>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</si>
  <si>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</si>
  <si>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</si>
  <si>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</si>
  <si>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</si>
  <si>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</si>
  <si>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</si>
  <si>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</si>
  <si>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</si>
  <si>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</si>
  <si>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</si>
  <si>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</si>
  <si>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</si>
  <si>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</si>
  <si>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</si>
  <si>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</si>
  <si>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</si>
  <si>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</si>
  <si>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</si>
  <si>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</si>
  <si>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</si>
  <si>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</si>
  <si>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</si>
  <si>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</si>
  <si>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</si>
  <si>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</si>
  <si>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</si>
  <si>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</si>
  <si>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</si>
  <si>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</si>
  <si>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</si>
  <si>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</si>
  <si>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</si>
  <si>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</si>
  <si>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</si>
  <si>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</si>
  <si>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</si>
  <si>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</si>
  <si>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</si>
  <si>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</si>
  <si>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</si>
  <si>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</si>
  <si>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</si>
  <si>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</si>
  <si>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</si>
  <si>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</si>
  <si>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</si>
  <si>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</si>
  <si>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</si>
  <si>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</si>
  <si>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</si>
  <si>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</si>
  <si>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</si>
  <si>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</si>
  <si>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</si>
  <si>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</si>
  <si>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</si>
  <si>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</si>
  <si>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</si>
  <si>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</si>
  <si>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</si>
  <si>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</si>
  <si>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</si>
  <si>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</si>
  <si>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</si>
  <si>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</si>
  <si>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</si>
  <si>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</si>
  <si>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</si>
  <si>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</si>
  <si>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</si>
  <si>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</si>
  <si>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</si>
  <si>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</si>
  <si>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</si>
  <si>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</si>
  <si>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</si>
  <si>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</si>
  <si>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</si>
  <si>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</si>
  <si>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</si>
  <si>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</si>
  <si>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</si>
  <si>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</si>
  <si>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</si>
  <si>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</si>
  <si>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</si>
  <si>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</si>
  <si>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</si>
  <si>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</si>
  <si>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</si>
  <si>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</si>
  <si>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</si>
  <si>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</si>
  <si>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</si>
  <si>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</si>
  <si>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</si>
  <si>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</si>
  <si>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</si>
  <si>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</si>
  <si>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</si>
  <si>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</si>
  <si>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</si>
  <si>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</si>
  <si>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</si>
  <si>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</si>
  <si>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</si>
  <si>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</si>
  <si>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</si>
  <si>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</si>
  <si>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</si>
  <si>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</si>
  <si>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</si>
  <si>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</si>
  <si>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</si>
  <si>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</si>
  <si>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</si>
  <si>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</si>
  <si>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</si>
  <si>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</si>
  <si>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</si>
  <si>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</si>
  <si>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</si>
  <si>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</si>
  <si>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</si>
  <si>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</si>
  <si>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</si>
  <si>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</si>
  <si>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</si>
  <si>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</si>
  <si>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</si>
  <si>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</si>
  <si>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</si>
  <si>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</si>
  <si>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</si>
  <si>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</si>
  <si>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</si>
  <si>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</si>
  <si>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</si>
  <si>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</si>
  <si>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</si>
  <si>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</si>
  <si>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</si>
  <si>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</si>
  <si>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</si>
  <si>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</si>
  <si>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</si>
  <si>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</si>
  <si>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</si>
  <si>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</si>
  <si>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</si>
  <si>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</si>
  <si>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</si>
  <si>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</si>
  <si>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</si>
  <si>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</si>
  <si>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</si>
  <si>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</si>
  <si>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</si>
  <si>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</si>
  <si>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</si>
  <si>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</si>
  <si>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</si>
  <si>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</si>
  <si>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</si>
  <si>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</si>
  <si>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</si>
  <si>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</si>
  <si>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</si>
  <si>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</si>
  <si>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</si>
  <si>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</si>
  <si>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</si>
  <si>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</si>
  <si>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</si>
  <si>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</si>
  <si>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</si>
  <si>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</si>
  <si>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</si>
  <si>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</si>
  <si>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</si>
  <si>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</si>
  <si>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</si>
  <si>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</si>
  <si>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</si>
  <si>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</si>
  <si>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</si>
  <si>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</si>
  <si>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</si>
  <si>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</si>
  <si>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</si>
  <si>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</si>
  <si>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</si>
  <si>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</si>
  <si>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</si>
  <si>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</si>
  <si>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</si>
  <si>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</si>
  <si>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</si>
  <si>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</si>
  <si>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</si>
  <si>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</si>
  <si>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</si>
  <si>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</si>
  <si>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</si>
  <si>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</si>
  <si>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</si>
  <si>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</si>
  <si>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</si>
  <si>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</si>
  <si>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</si>
  <si>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</si>
  <si>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</si>
  <si>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</si>
  <si>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</si>
  <si>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</si>
  <si>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</si>
  <si>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</si>
  <si>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</si>
  <si>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</si>
  <si>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</si>
  <si>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</si>
  <si>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</si>
  <si>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</si>
  <si>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</si>
  <si>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</si>
  <si>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</si>
  <si>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</si>
  <si>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</si>
  <si>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</si>
  <si>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</si>
  <si>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</si>
  <si>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</si>
  <si>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</si>
  <si>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</si>
  <si>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</si>
  <si>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</si>
  <si>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</si>
  <si>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</si>
  <si>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</si>
  <si>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</si>
  <si>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</si>
  <si>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</si>
  <si>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</si>
  <si>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</si>
  <si>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</si>
  <si>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</si>
  <si>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</si>
  <si>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</si>
  <si>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</si>
  <si>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</si>
  <si>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</si>
  <si>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</si>
  <si>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</si>
  <si>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</si>
  <si>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</si>
  <si>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</si>
  <si>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</si>
  <si>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</si>
  <si>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</si>
  <si>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</si>
  <si>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</si>
  <si>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</si>
  <si>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</si>
  <si>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</si>
  <si>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</si>
  <si>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</si>
  <si>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</si>
  <si>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</si>
  <si>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</si>
  <si>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</si>
  <si>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</si>
  <si>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</si>
  <si>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</si>
  <si>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</si>
  <si>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</si>
  <si>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</si>
  <si>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</si>
  <si>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</si>
  <si>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</si>
  <si>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</si>
  <si>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</si>
  <si>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</si>
  <si>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</si>
  <si>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</si>
  <si>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</si>
  <si>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</si>
  <si>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</si>
  <si>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</si>
  <si>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</si>
  <si>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</si>
  <si>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</si>
  <si>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</si>
  <si>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</si>
  <si>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</si>
  <si>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</si>
  <si>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</si>
  <si>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</si>
  <si>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</si>
  <si>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</si>
  <si>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</si>
  <si>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</si>
  <si>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</si>
  <si>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</si>
  <si>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</si>
  <si>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</si>
  <si>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</si>
  <si>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</si>
  <si>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</si>
  <si>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</si>
  <si>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</si>
  <si>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</si>
  <si>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</si>
  <si>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</si>
  <si>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</si>
  <si>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</si>
  <si>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</si>
  <si>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</si>
  <si>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</si>
  <si>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</si>
  <si>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</si>
  <si>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</si>
  <si>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</si>
  <si>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</si>
  <si>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</si>
  <si>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</si>
  <si>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</si>
  <si>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</si>
  <si>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</si>
  <si>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</si>
  <si>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</si>
  <si>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</si>
  <si>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</si>
  <si>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</si>
  <si>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</si>
  <si>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</si>
  <si>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</si>
  <si>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</si>
  <si>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</si>
  <si>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</si>
  <si>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</si>
  <si>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</si>
  <si>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</si>
  <si>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</si>
  <si>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</si>
  <si>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</si>
  <si>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</si>
  <si>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</si>
  <si>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</si>
  <si>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</si>
  <si>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</si>
  <si>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</si>
  <si>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</si>
  <si>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</si>
  <si>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</si>
  <si>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</si>
  <si>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</si>
  <si>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</si>
  <si>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</si>
  <si>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</si>
  <si>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</si>
  <si>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</si>
  <si>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</si>
  <si>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</si>
  <si>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</si>
  <si>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</si>
  <si>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</si>
  <si>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</si>
  <si>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</si>
  <si>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</si>
  <si>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</si>
  <si>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</si>
  <si>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</si>
  <si>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</si>
  <si>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</si>
  <si>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</si>
  <si>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</si>
  <si>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</si>
  <si>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</si>
  <si>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</si>
  <si>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</si>
  <si>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</si>
  <si>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</si>
  <si>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</si>
  <si>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</si>
  <si>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</si>
  <si>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</si>
  <si>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</si>
  <si>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</si>
  <si>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</si>
  <si>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</si>
  <si>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</si>
  <si>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</si>
  <si>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</si>
  <si>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</si>
  <si>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</si>
  <si>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</si>
  <si>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</si>
  <si>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</si>
  <si>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</si>
  <si>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</si>
  <si>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</si>
  <si>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</si>
  <si>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</si>
  <si>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</si>
  <si>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</si>
  <si>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</si>
  <si>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</si>
  <si>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</si>
  <si>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</si>
  <si>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</si>
  <si>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</si>
  <si>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</si>
  <si>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</si>
  <si>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</si>
  <si>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</si>
  <si>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</si>
  <si>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</si>
  <si>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</si>
  <si>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</si>
  <si>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</si>
  <si>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</si>
  <si>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</si>
  <si>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</si>
  <si>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</si>
  <si>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</si>
  <si>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</si>
  <si>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</si>
  <si>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</si>
  <si>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</si>
  <si>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</si>
  <si>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</si>
  <si>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</si>
  <si>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</si>
  <si>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</si>
  <si>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</si>
  <si>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</si>
  <si>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</si>
  <si>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</si>
  <si>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</si>
  <si>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</si>
  <si>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</si>
  <si>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</si>
  <si>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</si>
  <si>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</si>
  <si>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</si>
  <si>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</si>
  <si>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</si>
  <si>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</si>
  <si>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</si>
  <si>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</si>
  <si>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</si>
  <si>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</si>
  <si>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</si>
  <si>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</si>
  <si>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</si>
  <si>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</si>
  <si>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</si>
  <si>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</si>
  <si>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</si>
  <si>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</si>
  <si>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</si>
  <si>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</si>
  <si>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</si>
  <si>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</si>
  <si>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</si>
  <si>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</si>
  <si>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</si>
  <si>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</si>
  <si>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</si>
  <si>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</si>
  <si>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</si>
  <si>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</si>
  <si>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</si>
  <si>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</si>
  <si>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</si>
  <si>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</si>
  <si>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</si>
  <si>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</si>
  <si>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</si>
  <si>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</si>
  <si>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</si>
  <si>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</si>
  <si>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</si>
  <si>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</si>
  <si>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</si>
  <si>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</si>
  <si>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</si>
  <si>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</si>
  <si>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</si>
  <si>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</si>
  <si>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</si>
  <si>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</si>
  <si>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</si>
  <si>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</si>
  <si>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</si>
  <si>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</si>
  <si>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</si>
  <si>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</si>
  <si>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</si>
  <si>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</si>
  <si>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</si>
  <si>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</si>
  <si>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</si>
  <si>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</si>
  <si>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</si>
  <si>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</si>
  <si>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</si>
  <si>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</si>
  <si>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</si>
  <si>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</si>
  <si>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</si>
  <si>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</si>
  <si>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</si>
  <si>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</si>
  <si>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</si>
  <si>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</si>
  <si>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</si>
  <si>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</si>
  <si>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</si>
  <si>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</si>
  <si>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</si>
  <si>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</si>
  <si>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</si>
  <si>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</si>
  <si>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</si>
  <si>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</si>
  <si>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</si>
  <si>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</si>
  <si>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</si>
  <si>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</si>
  <si>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</si>
  <si>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</si>
  <si>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</si>
  <si>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</si>
  <si>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</si>
  <si>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</si>
  <si>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</si>
  <si>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</si>
  <si>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</si>
  <si>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</si>
  <si>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</si>
  <si>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</si>
  <si>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</si>
  <si>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</si>
  <si>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</si>
  <si>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</si>
  <si>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</si>
  <si>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</si>
  <si>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</si>
  <si>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</si>
  <si>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</si>
  <si>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</si>
  <si>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</si>
  <si>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</si>
  <si>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</si>
  <si>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</si>
  <si>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</si>
  <si>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</si>
  <si>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</si>
  <si>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</si>
  <si>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</si>
  <si>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</si>
  <si>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</si>
  <si>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</si>
  <si>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</si>
  <si>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</si>
  <si>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</si>
  <si>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</si>
  <si>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</si>
  <si>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</si>
  <si>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</si>
  <si>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</si>
  <si>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</si>
  <si>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</si>
  <si>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</si>
  <si>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</si>
  <si>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</si>
  <si>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</si>
  <si>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</si>
  <si>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</si>
  <si>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</si>
  <si>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</si>
  <si>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</si>
  <si>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</si>
  <si>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</si>
  <si>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</si>
  <si>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</si>
  <si>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</si>
  <si>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</si>
  <si>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</si>
  <si>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</si>
  <si>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</si>
  <si>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</si>
  <si>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</si>
  <si>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</si>
  <si>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</si>
  <si>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</si>
  <si>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</si>
  <si>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</si>
  <si>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</si>
  <si>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</si>
  <si>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</si>
  <si>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</si>
  <si>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</si>
  <si>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</si>
  <si>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</si>
  <si>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</si>
  <si>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</si>
  <si>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</si>
  <si>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</si>
  <si>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</si>
  <si>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</si>
  <si>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</si>
  <si>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</si>
  <si>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</si>
  <si>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</si>
  <si>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</si>
  <si>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</si>
  <si>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</si>
  <si>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</si>
  <si>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</si>
  <si>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</si>
  <si>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</si>
  <si>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</si>
  <si>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</si>
  <si>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</si>
  <si>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</si>
  <si>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</si>
  <si>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</si>
  <si>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</si>
  <si>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</si>
  <si>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</si>
  <si>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</si>
  <si>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</si>
  <si>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</si>
  <si>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</si>
  <si>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</si>
  <si>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</si>
  <si>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</si>
  <si>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</si>
  <si>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</si>
  <si>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</si>
  <si>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</si>
  <si>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</si>
  <si>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</si>
  <si>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</si>
  <si>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</si>
  <si>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</si>
  <si>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</si>
  <si>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</si>
  <si>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</si>
  <si>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</si>
  <si>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</si>
  <si>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</si>
  <si>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</si>
  <si>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</si>
  <si>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</si>
  <si>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</si>
  <si>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</si>
  <si>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</si>
  <si>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</si>
  <si>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</si>
  <si>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</si>
  <si>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</si>
  <si>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</si>
  <si>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</si>
  <si>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</si>
  <si>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</si>
  <si>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</si>
  <si>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</si>
  <si>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</si>
  <si>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</si>
  <si>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</si>
  <si>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</si>
  <si>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</si>
  <si>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</si>
  <si>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</si>
  <si>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</si>
  <si>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</si>
  <si>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</si>
  <si>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</si>
  <si>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</si>
  <si>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</si>
  <si>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</si>
  <si>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</si>
  <si>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</si>
  <si>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</si>
  <si>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</si>
  <si>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</si>
  <si>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</si>
  <si>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</si>
  <si>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</si>
  <si>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</si>
  <si>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</si>
  <si>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</si>
  <si>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</si>
  <si>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</si>
  <si>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</si>
  <si>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</si>
  <si>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</si>
  <si>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</si>
  <si>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</si>
  <si>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</si>
  <si>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</si>
  <si>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</si>
  <si>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</si>
  <si>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</si>
  <si>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</si>
  <si>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</si>
  <si>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</si>
  <si>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</si>
  <si>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</si>
  <si>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</si>
  <si>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</si>
  <si>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</si>
  <si>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</si>
  <si>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</si>
  <si>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</si>
  <si>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</si>
  <si>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</si>
  <si>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</si>
  <si>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</si>
  <si>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</si>
  <si>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</si>
  <si>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</si>
  <si>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</si>
  <si>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</si>
  <si>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</si>
  <si>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</si>
  <si>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</si>
  <si>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</si>
  <si>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</si>
  <si>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</si>
  <si>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</si>
  <si>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</si>
  <si>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</si>
  <si>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</si>
  <si>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</si>
  <si>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</si>
  <si>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</si>
  <si>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</si>
  <si>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</si>
  <si>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</si>
  <si>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</si>
  <si>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</si>
  <si>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</si>
  <si>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</si>
  <si>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</si>
  <si>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</si>
  <si>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</si>
  <si>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</si>
  <si>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</si>
  <si>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</si>
  <si>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</si>
  <si>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</si>
  <si>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</si>
  <si>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</si>
  <si>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</si>
  <si>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</si>
  <si>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</si>
  <si>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</si>
  <si>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</si>
  <si>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</si>
  <si>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</si>
  <si>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</si>
  <si>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</si>
  <si>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</si>
  <si>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</si>
  <si>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</si>
  <si>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</si>
  <si>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</si>
  <si>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</si>
  <si>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</si>
  <si>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</si>
  <si>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</si>
  <si>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</si>
  <si>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</si>
  <si>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</si>
  <si>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</si>
  <si>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</si>
  <si>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</si>
  <si>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</si>
  <si>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</si>
  <si>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</si>
  <si>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</si>
  <si>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</si>
  <si>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</si>
  <si>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</si>
  <si>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</si>
  <si>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</si>
  <si>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</si>
  <si>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</si>
  <si>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</si>
  <si>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</si>
  <si>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</si>
  <si>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</si>
  <si>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</si>
  <si>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</si>
  <si>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</si>
  <si>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</si>
  <si>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Hollis Brookline Cooperative</t>
  </si>
  <si>
    <t>08/96</t>
  </si>
  <si>
    <t>08/04</t>
  </si>
  <si>
    <t>08/24</t>
  </si>
  <si>
    <t>08/16</t>
  </si>
  <si>
    <t>08/00</t>
  </si>
  <si>
    <t>08/15</t>
  </si>
  <si>
    <t>LGC Contribution Return $139,015.27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</si>
</sst>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4" fontId="38" fillId="0" borderId="0" applyFont="0" applyFill="0" applyBorder="0" applyAlignment="0" applyProtection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4" fontId="0" fillId="0" borderId="0" xfId="1" applyFont="1"/>
    <xf numFmtId="44" fontId="0" fillId="0" borderId="0" xfId="0" applyNumberForma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">
    <cellStyle name="Currency" xfId="1" builtinId="4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538185.08+500</f>
        <v>538685.07999999996</v>
      </c>
      <c r="G9" s="18">
        <f>31527.93+74</f>
        <v>31601.93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7835.46</v>
      </c>
      <c r="G10" s="18">
        <v>0</v>
      </c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974726.88</v>
      </c>
      <c r="G12" s="18">
        <v>-43833.279999999999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144597.91</v>
      </c>
      <c r="G13" s="18">
        <v>24062.1</v>
      </c>
      <c r="H13" s="18">
        <v>279106.94</v>
      </c>
      <c r="I13" s="18"/>
      <c r="J13" s="67">
        <f>SUM(I442)</f>
        <v>69662.77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562.19000000000005</v>
      </c>
      <c r="G14" s="18">
        <v>0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7283.27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9257.5</v>
      </c>
      <c r="G17" s="18">
        <v>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-562.19000000000005</v>
      </c>
      <c r="G18" s="18">
        <v>0</v>
      </c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1675102.8299999998</v>
      </c>
      <c r="G19" s="41">
        <f>SUM(G9:G18)</f>
        <v>19114.02</v>
      </c>
      <c r="H19" s="41">
        <f>SUM(H9:H18)</f>
        <v>279106.94</v>
      </c>
      <c r="I19" s="41">
        <f>SUM(I9:I18)</f>
        <v>0</v>
      </c>
      <c r="J19" s="41">
        <f>SUM(J9:J18)</f>
        <v>69662.77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766345.4</v>
      </c>
      <c r="G22" s="18"/>
      <c r="H22" s="18">
        <f>104642.37-17095.08-33.58-20615.68-500-14666.7-2081.33-30509.81-2147.83</f>
        <v>16992.36</v>
      </c>
      <c r="I22" s="18"/>
      <c r="J22" s="67">
        <f>SUM(I448)</f>
        <v>17435.25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4769.8599999999997</v>
      </c>
      <c r="G23" s="18">
        <v>22.5</v>
      </c>
      <c r="H23" s="18">
        <f>6557.57+255557.01</f>
        <v>262114.58000000002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113825.84</v>
      </c>
      <c r="G24" s="18">
        <v>400</v>
      </c>
      <c r="H24" s="18"/>
      <c r="I24" s="18"/>
      <c r="J24" s="67">
        <f>SUM(I450)</f>
        <v>2276.4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0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88874.2</v>
      </c>
      <c r="G28" s="18">
        <v>0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225</v>
      </c>
      <c r="G30" s="18">
        <v>17050.97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974040.29999999993</v>
      </c>
      <c r="G32" s="41">
        <f>SUM(G22:G31)</f>
        <v>17473.47</v>
      </c>
      <c r="H32" s="41">
        <f>SUM(H22:H31)</f>
        <v>279106.94</v>
      </c>
      <c r="I32" s="41">
        <f>SUM(I22:I31)</f>
        <v>0</v>
      </c>
      <c r="J32" s="41">
        <f>SUM(J22:J31)</f>
        <v>19711.650000000001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7283.27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9257.5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-5642.72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187000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141762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49951.119999999995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10264.32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494540.71-141762</f>
        <v>352778.71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701062.53</v>
      </c>
      <c r="G51" s="41">
        <f>SUM(G35:G50)</f>
        <v>1640.5500000000002</v>
      </c>
      <c r="H51" s="41">
        <f>SUM(H35:H50)</f>
        <v>0</v>
      </c>
      <c r="I51" s="41">
        <f>SUM(I35:I50)</f>
        <v>0</v>
      </c>
      <c r="J51" s="41">
        <f>SUM(J35:J50)</f>
        <v>49951.119999999995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1675102.83</v>
      </c>
      <c r="G52" s="41">
        <f>G51+G32</f>
        <v>19114.02</v>
      </c>
      <c r="H52" s="41">
        <f>H51+H32</f>
        <v>279106.94</v>
      </c>
      <c r="I52" s="41">
        <f>I51+I32</f>
        <v>0</v>
      </c>
      <c r="J52" s="41">
        <f>J51+J32</f>
        <v>69662.76999999999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13804794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20282.099999999999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13825076.1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6471.9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6471.9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1395.94</v>
      </c>
      <c r="G96" s="18"/>
      <c r="H96" s="18"/>
      <c r="I96" s="18"/>
      <c r="J96" s="18">
        <v>138.82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105480.38-5037.86+244269.47</f>
        <v>344711.99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13779.07+46095.9</f>
        <v>59874.97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2266.25+1228</f>
        <v>3494.25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4987.2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139015.26999999999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9701.64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218469.27000000002</v>
      </c>
      <c r="G111" s="41">
        <f>SUM(G96:G110)</f>
        <v>344711.99</v>
      </c>
      <c r="H111" s="41">
        <f>SUM(H96:H110)</f>
        <v>0</v>
      </c>
      <c r="I111" s="41">
        <f>SUM(I96:I110)</f>
        <v>0</v>
      </c>
      <c r="J111" s="41">
        <f>SUM(J96:J110)</f>
        <v>138.82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14050017.27</v>
      </c>
      <c r="G112" s="41">
        <f>G60+G111</f>
        <v>344711.99</v>
      </c>
      <c r="H112" s="41">
        <f>H60+H79+H94+H111</f>
        <v>0</v>
      </c>
      <c r="I112" s="41">
        <f>I60+I111</f>
        <v>0</v>
      </c>
      <c r="J112" s="41">
        <f>J60+J111</f>
        <v>138.82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3062518.45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2152706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5215224.45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404512.37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579519.86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5926.6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3190.1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989958.83</v>
      </c>
      <c r="G136" s="41">
        <f>SUM(G123:G135)</f>
        <v>3190.1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6205183.2800000003</v>
      </c>
      <c r="G140" s="41">
        <f>G121+SUM(G136:G137)</f>
        <v>3190.1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16161.88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16161.88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9902+12821.29</f>
        <v>22723.29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10495.29+19188.05</f>
        <v>29683.34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266285.65000000002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195895.04000000001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195895.04000000001</v>
      </c>
      <c r="G162" s="41">
        <f>SUM(G150:G161)</f>
        <v>29683.34</v>
      </c>
      <c r="H162" s="41">
        <f>SUM(H150:H161)</f>
        <v>289008.94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195895.04000000001</v>
      </c>
      <c r="G169" s="41">
        <f>G147+G162+SUM(G163:G168)</f>
        <v>45845.22</v>
      </c>
      <c r="H169" s="41">
        <f>H147+H162+SUM(H163:H168)</f>
        <v>289008.94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76479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76479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76479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20451095.59</v>
      </c>
      <c r="G193" s="47">
        <f>G112+G140+G169+G192</f>
        <v>393747.30999999994</v>
      </c>
      <c r="H193" s="47">
        <f>H112+H140+H169+H192</f>
        <v>289008.94</v>
      </c>
      <c r="I193" s="47">
        <f>I112+I140+I169+I192</f>
        <v>0</v>
      </c>
      <c r="J193" s="47">
        <f>J112+J140+J192</f>
        <v>76617.820000000007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1828797.55+1413.83</f>
        <v>1830211.3800000001</v>
      </c>
      <c r="G215" s="18">
        <v>791453.4</v>
      </c>
      <c r="H215" s="18">
        <f>3322.07</f>
        <v>3322.07</v>
      </c>
      <c r="I215" s="18">
        <f>43810.82+505.08</f>
        <v>44315.9</v>
      </c>
      <c r="J215" s="18">
        <v>7061.25</v>
      </c>
      <c r="K215" s="18">
        <v>1744</v>
      </c>
      <c r="L215" s="19">
        <f>SUM(F215:K215)</f>
        <v>2678108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686516.07+1281.77+6731.25-2165</f>
        <v>692364.09</v>
      </c>
      <c r="G216" s="18">
        <v>300340.94</v>
      </c>
      <c r="H216" s="18">
        <f>167995.2+9834.58+391376.83+2440+1550</f>
        <v>573196.61</v>
      </c>
      <c r="I216" s="18">
        <v>2368.38</v>
      </c>
      <c r="J216" s="18">
        <v>4090.01</v>
      </c>
      <c r="K216" s="18">
        <v>0</v>
      </c>
      <c r="L216" s="19">
        <f>SUM(F216:K216)</f>
        <v>1572360.03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59550</v>
      </c>
      <c r="G218" s="18">
        <v>25751.7</v>
      </c>
      <c r="H218" s="18">
        <f>6363+2550</f>
        <v>8913</v>
      </c>
      <c r="I218" s="18">
        <v>4841.93</v>
      </c>
      <c r="J218" s="18">
        <v>0</v>
      </c>
      <c r="K218" s="18">
        <f>924.48+0</f>
        <v>924.48</v>
      </c>
      <c r="L218" s="19">
        <f>SUM(F218:K218)</f>
        <v>99981.11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240158.36+14540.7</f>
        <v>254699.06</v>
      </c>
      <c r="G220" s="18">
        <v>110141.61</v>
      </c>
      <c r="H220" s="18">
        <f>55690.21+29665.71</f>
        <v>85355.92</v>
      </c>
      <c r="I220" s="18">
        <v>3471.91</v>
      </c>
      <c r="J220" s="18">
        <v>0</v>
      </c>
      <c r="K220" s="18">
        <v>0</v>
      </c>
      <c r="L220" s="19">
        <f t="shared" ref="L220:L226" si="2">SUM(F220:K220)</f>
        <v>453668.49999999994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46271.72+18779.49</f>
        <v>65051.210000000006</v>
      </c>
      <c r="G221" s="18">
        <f>59952.58+490.01</f>
        <v>60442.590000000004</v>
      </c>
      <c r="H221" s="18">
        <f>529.68</f>
        <v>529.67999999999995</v>
      </c>
      <c r="I221" s="18">
        <f>9242.32+151.91</f>
        <v>9394.23</v>
      </c>
      <c r="J221" s="18">
        <v>15154.87</v>
      </c>
      <c r="K221" s="18">
        <v>0</v>
      </c>
      <c r="L221" s="19">
        <f t="shared" si="2"/>
        <v>150572.58000000002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f>136.95+279841.8</f>
        <v>279978.75</v>
      </c>
      <c r="I222" s="18">
        <v>2106.4</v>
      </c>
      <c r="J222" s="18">
        <v>0</v>
      </c>
      <c r="K222" s="18">
        <v>0</v>
      </c>
      <c r="L222" s="19">
        <f t="shared" si="2"/>
        <v>282085.15000000002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291215.58</v>
      </c>
      <c r="G223" s="18">
        <v>125932.75</v>
      </c>
      <c r="H223" s="18">
        <f>4680+13865.68+8351.82+13802.64</f>
        <v>40700.14</v>
      </c>
      <c r="I223" s="18">
        <f>1108.13+24545.37+1571.27+2544.13</f>
        <v>29768.9</v>
      </c>
      <c r="J223" s="18">
        <v>0</v>
      </c>
      <c r="K223" s="18">
        <v>1802.99</v>
      </c>
      <c r="L223" s="19">
        <f t="shared" si="2"/>
        <v>489420.36000000004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f>562.19*0.36</f>
        <v>202.38840000000002</v>
      </c>
      <c r="L224" s="19">
        <f t="shared" si="2"/>
        <v>202.38840000000002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178170.56</v>
      </c>
      <c r="G225" s="18">
        <v>77047.759999999995</v>
      </c>
      <c r="H225" s="18">
        <f>21407.07+79226.04+1281+1031.25+9090.9</f>
        <v>112036.25999999998</v>
      </c>
      <c r="I225" s="18">
        <f>103710.69+136.67</f>
        <v>103847.36</v>
      </c>
      <c r="J225" s="18">
        <v>2960</v>
      </c>
      <c r="K225" s="18">
        <v>0</v>
      </c>
      <c r="L225" s="19">
        <f t="shared" si="2"/>
        <v>474061.93999999994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f>2511.2+182017.58+120285.37+9104</f>
        <v>313918.15000000002</v>
      </c>
      <c r="I226" s="18">
        <v>19857.990000000002</v>
      </c>
      <c r="J226" s="18">
        <v>0</v>
      </c>
      <c r="K226" s="18">
        <v>0</v>
      </c>
      <c r="L226" s="19">
        <f t="shared" si="2"/>
        <v>333776.14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/>
      <c r="H227" s="18">
        <v>162</v>
      </c>
      <c r="I227" s="18">
        <v>0</v>
      </c>
      <c r="J227" s="18">
        <v>0</v>
      </c>
      <c r="K227" s="18">
        <v>0</v>
      </c>
      <c r="L227" s="19">
        <f>SUM(F227:K227)</f>
        <v>162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3371261.8800000004</v>
      </c>
      <c r="G229" s="41">
        <f>SUM(G215:G228)</f>
        <v>1491110.7500000002</v>
      </c>
      <c r="H229" s="41">
        <f>SUM(H215:H228)</f>
        <v>1418112.58</v>
      </c>
      <c r="I229" s="41">
        <f>SUM(I215:I228)</f>
        <v>219973</v>
      </c>
      <c r="J229" s="41">
        <f>SUM(J215:J228)</f>
        <v>29266.13</v>
      </c>
      <c r="K229" s="41">
        <f t="shared" si="3"/>
        <v>4673.8584000000001</v>
      </c>
      <c r="L229" s="41">
        <f t="shared" si="3"/>
        <v>6534398.198400001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3219560.76+2165+361.93</f>
        <v>3222087.69</v>
      </c>
      <c r="G233" s="18">
        <v>1385413.96</v>
      </c>
      <c r="H233" s="18">
        <f>1104.5+727.75+1168.17</f>
        <v>3000.42</v>
      </c>
      <c r="I233" s="18">
        <f>113398.93+897.92</f>
        <v>114296.84999999999</v>
      </c>
      <c r="J233" s="18">
        <v>4038.95</v>
      </c>
      <c r="K233" s="18">
        <f>1104+0</f>
        <v>1104</v>
      </c>
      <c r="L233" s="19">
        <f>SUM(F233:K233)</f>
        <v>4729941.87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910282.42+2290.89+12030.75+2165</f>
        <v>926769.06</v>
      </c>
      <c r="G234" s="18">
        <v>397555.71</v>
      </c>
      <c r="H234" s="18">
        <f>432296.96+17483.7+227+633625.73+710-2040</f>
        <v>1082303.3900000001</v>
      </c>
      <c r="I234" s="18">
        <v>12449.47</v>
      </c>
      <c r="J234" s="18">
        <v>2122.86</v>
      </c>
      <c r="K234" s="18">
        <v>250</v>
      </c>
      <c r="L234" s="19">
        <f>SUM(F234:K234)</f>
        <v>2421450.4900000002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44145.15</v>
      </c>
      <c r="I235" s="18">
        <v>0</v>
      </c>
      <c r="J235" s="18">
        <v>0</v>
      </c>
      <c r="K235" s="18">
        <v>0</v>
      </c>
      <c r="L235" s="19">
        <f>SUM(F235:K235)</f>
        <v>44145.15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294621</v>
      </c>
      <c r="G236" s="18">
        <v>142689.89000000001</v>
      </c>
      <c r="H236" s="18">
        <f>42483.58+1006.23+3457.93</f>
        <v>46947.740000000005</v>
      </c>
      <c r="I236" s="18">
        <v>13479.39</v>
      </c>
      <c r="J236" s="18">
        <v>13069.63</v>
      </c>
      <c r="K236" s="18">
        <f>16355.52+0</f>
        <v>16355.52</v>
      </c>
      <c r="L236" s="19">
        <f>SUM(F236:K236)</f>
        <v>527163.17000000004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689691.18+25988.55</f>
        <v>715679.7300000001</v>
      </c>
      <c r="G238" s="18">
        <v>307723.68</v>
      </c>
      <c r="H238" s="18">
        <f>151467.7+52739.07+413.39</f>
        <v>204620.16000000003</v>
      </c>
      <c r="I238" s="18">
        <f>7740.86</f>
        <v>7740.86</v>
      </c>
      <c r="J238" s="18">
        <v>0</v>
      </c>
      <c r="K238" s="18">
        <f>1251+0</f>
        <v>1251</v>
      </c>
      <c r="L238" s="19">
        <f t="shared" ref="L238:L244" si="4">SUM(F238:K238)</f>
        <v>1237015.4300000004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140996.33+33564.51</f>
        <v>174560.84</v>
      </c>
      <c r="G239" s="18">
        <f>136739.78+265.6</f>
        <v>137005.38</v>
      </c>
      <c r="H239" s="18">
        <f>50+18602+185.15+76</f>
        <v>18913.150000000001</v>
      </c>
      <c r="I239" s="18">
        <f>24739.22+270.06</f>
        <v>25009.280000000002</v>
      </c>
      <c r="J239" s="18">
        <f>495.46+19711.74</f>
        <v>20207.2</v>
      </c>
      <c r="K239" s="18">
        <v>0</v>
      </c>
      <c r="L239" s="19">
        <f t="shared" si="4"/>
        <v>375695.85000000003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f>243.47+497496.53</f>
        <v>497740</v>
      </c>
      <c r="I240" s="18">
        <v>3744.72</v>
      </c>
      <c r="J240" s="18">
        <v>0</v>
      </c>
      <c r="K240" s="18">
        <v>0</v>
      </c>
      <c r="L240" s="19">
        <f t="shared" si="4"/>
        <v>501484.72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412205.02</v>
      </c>
      <c r="G241" s="18">
        <v>177237.44</v>
      </c>
      <c r="H241" s="18">
        <f>8320+21362.97+18058.99+14847.68</f>
        <v>62589.640000000007</v>
      </c>
      <c r="I241" s="18">
        <f>11684.43+43636.2+2793.36+4522.9+800</f>
        <v>63436.89</v>
      </c>
      <c r="J241" s="18">
        <v>0</v>
      </c>
      <c r="K241" s="18">
        <f>15236.55+211.6</f>
        <v>15448.15</v>
      </c>
      <c r="L241" s="19">
        <f t="shared" si="4"/>
        <v>730917.14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f>562.19*0.64</f>
        <v>359.80160000000006</v>
      </c>
      <c r="L242" s="19">
        <f t="shared" si="4"/>
        <v>359.80160000000006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285554.67</v>
      </c>
      <c r="G243" s="18">
        <v>122781.11</v>
      </c>
      <c r="H243" s="18">
        <f>140542.77+38055+3179.17+442.03+322+258.38+16161.6+1.98</f>
        <v>198962.93000000002</v>
      </c>
      <c r="I243" s="18">
        <f>198715.42+242.97</f>
        <v>198958.39</v>
      </c>
      <c r="J243" s="18">
        <v>8612</v>
      </c>
      <c r="K243" s="18">
        <v>0</v>
      </c>
      <c r="L243" s="19">
        <f t="shared" si="4"/>
        <v>814869.1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f>5445.94+184738.77+266259.1+85788.43+44380.43</f>
        <v>586612.67000000004</v>
      </c>
      <c r="I244" s="18">
        <v>36879.129999999997</v>
      </c>
      <c r="J244" s="18">
        <v>0</v>
      </c>
      <c r="K244" s="18">
        <v>0</v>
      </c>
      <c r="L244" s="19">
        <f t="shared" si="4"/>
        <v>623491.80000000005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288</v>
      </c>
      <c r="I245" s="18">
        <v>0</v>
      </c>
      <c r="J245" s="18">
        <v>0</v>
      </c>
      <c r="K245" s="18">
        <v>0</v>
      </c>
      <c r="L245" s="19">
        <f>SUM(F245:K245)</f>
        <v>288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6031478.0099999998</v>
      </c>
      <c r="G247" s="41">
        <f t="shared" si="5"/>
        <v>2670407.17</v>
      </c>
      <c r="H247" s="41">
        <f t="shared" si="5"/>
        <v>2746123.2499999995</v>
      </c>
      <c r="I247" s="41">
        <f t="shared" si="5"/>
        <v>475994.98</v>
      </c>
      <c r="J247" s="41">
        <f t="shared" si="5"/>
        <v>48050.64</v>
      </c>
      <c r="K247" s="41">
        <f t="shared" si="5"/>
        <v>34768.471599999997</v>
      </c>
      <c r="L247" s="41">
        <f t="shared" si="5"/>
        <v>12006822.521600002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21644.19</v>
      </c>
      <c r="K255" s="18"/>
      <c r="L255" s="19">
        <f t="shared" si="6"/>
        <v>21644.19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21644.19</v>
      </c>
      <c r="K256" s="41">
        <f t="shared" si="7"/>
        <v>0</v>
      </c>
      <c r="L256" s="41">
        <f>SUM(F256:K256)</f>
        <v>21644.19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9402739.8900000006</v>
      </c>
      <c r="G257" s="41">
        <f t="shared" si="8"/>
        <v>4161517.92</v>
      </c>
      <c r="H257" s="41">
        <f t="shared" si="8"/>
        <v>4164235.8299999996</v>
      </c>
      <c r="I257" s="41">
        <f t="shared" si="8"/>
        <v>695967.98</v>
      </c>
      <c r="J257" s="41">
        <f t="shared" si="8"/>
        <v>98960.960000000006</v>
      </c>
      <c r="K257" s="41">
        <f t="shared" si="8"/>
        <v>39442.329999999994</v>
      </c>
      <c r="L257" s="41">
        <f t="shared" si="8"/>
        <v>18562864.910000004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960324.15</v>
      </c>
      <c r="L260" s="19">
        <f>SUM(F260:K260)</f>
        <v>960324.15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842383.6</v>
      </c>
      <c r="L261" s="19">
        <f>SUM(F261:K261)</f>
        <v>842383.6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56479+20000</f>
        <v>76479</v>
      </c>
      <c r="L266" s="19">
        <f t="shared" si="9"/>
        <v>76479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1879186.75</v>
      </c>
      <c r="L270" s="41">
        <f t="shared" si="9"/>
        <v>1879186.75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9402739.8900000006</v>
      </c>
      <c r="G271" s="42">
        <f t="shared" si="11"/>
        <v>4161517.92</v>
      </c>
      <c r="H271" s="42">
        <f t="shared" si="11"/>
        <v>4164235.8299999996</v>
      </c>
      <c r="I271" s="42">
        <f t="shared" si="11"/>
        <v>695967.98</v>
      </c>
      <c r="J271" s="42">
        <f t="shared" si="11"/>
        <v>98960.960000000006</v>
      </c>
      <c r="K271" s="42">
        <f t="shared" si="11"/>
        <v>1918629.08</v>
      </c>
      <c r="L271" s="42">
        <f t="shared" si="11"/>
        <v>20442051.660000004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72981.73</v>
      </c>
      <c r="G296" s="18">
        <v>2340.09</v>
      </c>
      <c r="H296" s="18">
        <v>18180.28</v>
      </c>
      <c r="I296" s="18"/>
      <c r="J296" s="18"/>
      <c r="K296" s="18"/>
      <c r="L296" s="19">
        <f>SUM(F296:K296)</f>
        <v>93502.099999999991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4615.66+1432.34</f>
        <v>6048</v>
      </c>
      <c r="G301" s="18"/>
      <c r="H301" s="18">
        <f>1232.38+900</f>
        <v>2132.38</v>
      </c>
      <c r="I301" s="18"/>
      <c r="J301" s="18"/>
      <c r="K301" s="18"/>
      <c r="L301" s="19">
        <f t="shared" si="14"/>
        <v>8180.38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>
        <v>2360.73</v>
      </c>
      <c r="L303" s="19">
        <f t="shared" si="14"/>
        <v>2360.73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79029.73</v>
      </c>
      <c r="G309" s="42">
        <f t="shared" si="15"/>
        <v>2340.09</v>
      </c>
      <c r="H309" s="42">
        <f t="shared" si="15"/>
        <v>20312.66</v>
      </c>
      <c r="I309" s="42">
        <f t="shared" si="15"/>
        <v>0</v>
      </c>
      <c r="J309" s="42">
        <f t="shared" si="15"/>
        <v>0</v>
      </c>
      <c r="K309" s="42">
        <f t="shared" si="15"/>
        <v>2360.73</v>
      </c>
      <c r="L309" s="41">
        <f t="shared" si="15"/>
        <v>104043.20999999999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129745.31</v>
      </c>
      <c r="G315" s="18">
        <v>4160.16</v>
      </c>
      <c r="H315" s="18">
        <v>32320.51</v>
      </c>
      <c r="I315" s="18"/>
      <c r="J315" s="18"/>
      <c r="K315" s="18"/>
      <c r="L315" s="19">
        <f>SUM(F315:K315)</f>
        <v>166225.98000000001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8205.63+2546.37</f>
        <v>10752</v>
      </c>
      <c r="G320" s="18"/>
      <c r="H320" s="18">
        <f>2190.91+1600</f>
        <v>3790.91</v>
      </c>
      <c r="I320" s="18"/>
      <c r="J320" s="18"/>
      <c r="K320" s="18"/>
      <c r="L320" s="19">
        <f t="shared" si="16"/>
        <v>14542.91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>
        <v>4196.84</v>
      </c>
      <c r="L322" s="19">
        <f t="shared" si="16"/>
        <v>4196.84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140497.31</v>
      </c>
      <c r="G328" s="42">
        <f t="shared" si="17"/>
        <v>4160.16</v>
      </c>
      <c r="H328" s="42">
        <f t="shared" si="17"/>
        <v>36111.42</v>
      </c>
      <c r="I328" s="42">
        <f t="shared" si="17"/>
        <v>0</v>
      </c>
      <c r="J328" s="42">
        <f t="shared" si="17"/>
        <v>0</v>
      </c>
      <c r="K328" s="42">
        <f t="shared" si="17"/>
        <v>4196.84</v>
      </c>
      <c r="L328" s="41">
        <f t="shared" si="17"/>
        <v>184965.73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219527.03999999998</v>
      </c>
      <c r="G338" s="41">
        <f t="shared" si="20"/>
        <v>6500.25</v>
      </c>
      <c r="H338" s="41">
        <f t="shared" si="20"/>
        <v>56424.08</v>
      </c>
      <c r="I338" s="41">
        <f t="shared" si="20"/>
        <v>0</v>
      </c>
      <c r="J338" s="41">
        <f t="shared" si="20"/>
        <v>0</v>
      </c>
      <c r="K338" s="41">
        <f t="shared" si="20"/>
        <v>6557.57</v>
      </c>
      <c r="L338" s="41">
        <f t="shared" si="20"/>
        <v>289008.94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219527.03999999998</v>
      </c>
      <c r="G352" s="41">
        <f>G338</f>
        <v>6500.25</v>
      </c>
      <c r="H352" s="41">
        <f>H338</f>
        <v>56424.08</v>
      </c>
      <c r="I352" s="41">
        <f>I338</f>
        <v>0</v>
      </c>
      <c r="J352" s="41">
        <f>J338</f>
        <v>0</v>
      </c>
      <c r="K352" s="47">
        <f>K338+K351</f>
        <v>6557.57</v>
      </c>
      <c r="L352" s="41">
        <f>L338+L351</f>
        <v>289008.94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63460.96+6259.84</f>
        <v>69720.800000000003</v>
      </c>
      <c r="G359" s="18"/>
      <c r="H359" s="18">
        <v>2243.36</v>
      </c>
      <c r="I359" s="18">
        <f>4611.2+1713.82+5545.6+53430.05+176+408.28</f>
        <v>65884.95</v>
      </c>
      <c r="J359" s="18"/>
      <c r="K359" s="18"/>
      <c r="L359" s="19">
        <f>SUM(F359:K359)</f>
        <v>137849.10999999999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96244.06+919.31+11128.6</f>
        <v>108291.97</v>
      </c>
      <c r="G360" s="18"/>
      <c r="H360" s="18">
        <f>2027.15+278.14</f>
        <v>2305.29</v>
      </c>
      <c r="I360" s="18">
        <f>11000.76+1788.44+9858.84+138095.35+291.5+725.83</f>
        <v>161760.72</v>
      </c>
      <c r="J360" s="18"/>
      <c r="K360" s="18"/>
      <c r="L360" s="19">
        <f>SUM(F360:K360)</f>
        <v>272357.98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178012.77000000002</v>
      </c>
      <c r="G362" s="47">
        <f t="shared" si="22"/>
        <v>0</v>
      </c>
      <c r="H362" s="47">
        <f t="shared" si="22"/>
        <v>4548.6499999999996</v>
      </c>
      <c r="I362" s="47">
        <f t="shared" si="22"/>
        <v>227645.66999999998</v>
      </c>
      <c r="J362" s="47">
        <f t="shared" si="22"/>
        <v>0</v>
      </c>
      <c r="K362" s="47">
        <f t="shared" si="22"/>
        <v>0</v>
      </c>
      <c r="L362" s="47">
        <f t="shared" si="22"/>
        <v>410207.08999999997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>
        <f>5545.6+53430.05+176</f>
        <v>59151.65</v>
      </c>
      <c r="H367" s="18">
        <f>9858.84+138095.35+291.5</f>
        <v>148245.69</v>
      </c>
      <c r="I367" s="56">
        <f>SUM(F367:H367)</f>
        <v>207397.34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>
        <v>6733.3</v>
      </c>
      <c r="H368" s="63">
        <v>13515.03</v>
      </c>
      <c r="I368" s="56">
        <f>SUM(F368:H368)</f>
        <v>20248.330000000002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65884.95</v>
      </c>
      <c r="H369" s="47">
        <f>SUM(H367:H368)</f>
        <v>161760.72</v>
      </c>
      <c r="I369" s="47">
        <f>SUM(I367:I368)</f>
        <v>227645.66999999998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v>48.51</v>
      </c>
      <c r="I396" s="18"/>
      <c r="J396" s="24" t="s">
        <v>289</v>
      </c>
      <c r="K396" s="24" t="s">
        <v>289</v>
      </c>
      <c r="L396" s="56">
        <f t="shared" si="26"/>
        <v>20048.509999999998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56479</v>
      </c>
      <c r="H400" s="18">
        <f>27.54+62.77</f>
        <v>90.31</v>
      </c>
      <c r="I400" s="18"/>
      <c r="J400" s="24" t="s">
        <v>289</v>
      </c>
      <c r="K400" s="24" t="s">
        <v>289</v>
      </c>
      <c r="L400" s="56">
        <f t="shared" si="26"/>
        <v>56569.31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76479</v>
      </c>
      <c r="H401" s="47">
        <f>SUM(H395:H400)</f>
        <v>138.82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76617.819999999992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76479</v>
      </c>
      <c r="H408" s="47">
        <f>H393+H401+H407</f>
        <v>138.82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76617.819999999992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28000.01</v>
      </c>
      <c r="G426" s="18">
        <v>0</v>
      </c>
      <c r="H426" s="18">
        <f>14512.3+6799.99</f>
        <v>21312.29</v>
      </c>
      <c r="I426" s="18">
        <v>2276.4</v>
      </c>
      <c r="J426" s="18">
        <v>17058.84</v>
      </c>
      <c r="K426" s="18">
        <f>2268.33+740</f>
        <v>3008.33</v>
      </c>
      <c r="L426" s="56">
        <f t="shared" si="29"/>
        <v>71655.87000000001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28000.01</v>
      </c>
      <c r="G427" s="47">
        <f t="shared" si="30"/>
        <v>0</v>
      </c>
      <c r="H427" s="47">
        <f t="shared" si="30"/>
        <v>21312.29</v>
      </c>
      <c r="I427" s="47">
        <f t="shared" si="30"/>
        <v>2276.4</v>
      </c>
      <c r="J427" s="47">
        <f t="shared" si="30"/>
        <v>17058.84</v>
      </c>
      <c r="K427" s="47">
        <f t="shared" si="30"/>
        <v>3008.33</v>
      </c>
      <c r="L427" s="47">
        <f t="shared" si="30"/>
        <v>71655.87000000001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28000.01</v>
      </c>
      <c r="G434" s="47">
        <f t="shared" si="32"/>
        <v>0</v>
      </c>
      <c r="H434" s="47">
        <f t="shared" si="32"/>
        <v>21312.29</v>
      </c>
      <c r="I434" s="47">
        <f t="shared" si="32"/>
        <v>2276.4</v>
      </c>
      <c r="J434" s="47">
        <f t="shared" si="32"/>
        <v>17058.84</v>
      </c>
      <c r="K434" s="47">
        <f t="shared" si="32"/>
        <v>3008.33</v>
      </c>
      <c r="L434" s="47">
        <f t="shared" si="32"/>
        <v>71655.87000000001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f>40063.43+29599.34</f>
        <v>69662.77</v>
      </c>
      <c r="H442" s="18"/>
      <c r="I442" s="56">
        <f t="shared" si="33"/>
        <v>69662.77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69662.77</v>
      </c>
      <c r="H446" s="13">
        <f>SUM(H439:H445)</f>
        <v>0</v>
      </c>
      <c r="I446" s="13">
        <f>SUM(I439:I445)</f>
        <v>69662.77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17435.25</v>
      </c>
      <c r="H448" s="18"/>
      <c r="I448" s="56">
        <f>SUM(F448:H448)</f>
        <v>17435.25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2276.4</v>
      </c>
      <c r="H450" s="18"/>
      <c r="I450" s="56">
        <f>SUM(F450:H450)</f>
        <v>2276.4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19711.650000000001</v>
      </c>
      <c r="H452" s="72">
        <f>SUM(H448:H451)</f>
        <v>0</v>
      </c>
      <c r="I452" s="72">
        <f>SUM(I448:I451)</f>
        <v>19711.650000000001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44989.17+4961.95</f>
        <v>49951.119999999995</v>
      </c>
      <c r="H459" s="18"/>
      <c r="I459" s="56">
        <f t="shared" si="34"/>
        <v>49951.119999999995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49951.119999999995</v>
      </c>
      <c r="H460" s="83">
        <f>SUM(H454:H459)</f>
        <v>0</v>
      </c>
      <c r="I460" s="83">
        <f>SUM(I454:I459)</f>
        <v>49951.119999999995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69662.76999999999</v>
      </c>
      <c r="H461" s="42">
        <f>H452+H460</f>
        <v>0</v>
      </c>
      <c r="I461" s="42">
        <f>I452+I460</f>
        <v>69662.76999999999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722011.6-29993</f>
        <v>692018.6</v>
      </c>
      <c r="G465" s="18">
        <v>18100.330000000002</v>
      </c>
      <c r="H465" s="18">
        <v>0</v>
      </c>
      <c r="I465" s="18">
        <v>0</v>
      </c>
      <c r="J465" s="18">
        <v>44989.17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20451095.59</v>
      </c>
      <c r="G468" s="18">
        <v>393747.31</v>
      </c>
      <c r="H468" s="18">
        <v>289008.94</v>
      </c>
      <c r="I468" s="18">
        <v>0</v>
      </c>
      <c r="J468" s="18">
        <v>76617.820000000007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20451095.59</v>
      </c>
      <c r="G470" s="53">
        <f>SUM(G468:G469)</f>
        <v>393747.31</v>
      </c>
      <c r="H470" s="53">
        <f>SUM(H468:H469)</f>
        <v>289008.94</v>
      </c>
      <c r="I470" s="53">
        <f>SUM(I468:I469)</f>
        <v>0</v>
      </c>
      <c r="J470" s="53">
        <f>SUM(J468:J469)</f>
        <v>76617.820000000007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20382402.47+59649.19</f>
        <v>20442051.66</v>
      </c>
      <c r="G472" s="18">
        <v>410207.09</v>
      </c>
      <c r="H472" s="18">
        <v>289008.94</v>
      </c>
      <c r="I472" s="18"/>
      <c r="J472" s="18">
        <v>71655.87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20442051.66</v>
      </c>
      <c r="G474" s="53">
        <f>SUM(G472:G473)</f>
        <v>410207.09</v>
      </c>
      <c r="H474" s="53">
        <f>SUM(H472:H473)</f>
        <v>289008.94</v>
      </c>
      <c r="I474" s="53">
        <f>SUM(I472:I473)</f>
        <v>0</v>
      </c>
      <c r="J474" s="53">
        <f>SUM(J472:J473)</f>
        <v>71655.87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701062.53000000119</v>
      </c>
      <c r="G476" s="53">
        <f>(G465+G470)- G474</f>
        <v>1640.5499999999884</v>
      </c>
      <c r="H476" s="53">
        <f>(H465+H470)- H474</f>
        <v>0</v>
      </c>
      <c r="I476" s="53">
        <f>(I465+I470)- I474</f>
        <v>0</v>
      </c>
      <c r="J476" s="53">
        <f>(J465+J470)- J474</f>
        <v>49951.12000000001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>
        <v>15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913</v>
      </c>
      <c r="H491" s="155" t="s">
        <v>914</v>
      </c>
      <c r="I491" s="155" t="s">
        <v>917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 t="s">
        <v>916</v>
      </c>
      <c r="H492" s="155" t="s">
        <v>915</v>
      </c>
      <c r="I492" s="155" t="s">
        <v>918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8100000</v>
      </c>
      <c r="G493" s="18">
        <v>2700000</v>
      </c>
      <c r="H493" s="18">
        <v>7703400</v>
      </c>
      <c r="I493" s="18">
        <v>3200000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5.71</v>
      </c>
      <c r="G494" s="18">
        <v>5.71</v>
      </c>
      <c r="H494" s="18">
        <v>4.54</v>
      </c>
      <c r="I494" s="18">
        <v>5.2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446033.71</v>
      </c>
      <c r="G495" s="18">
        <v>430000</v>
      </c>
      <c r="H495" s="18">
        <v>4790000</v>
      </c>
      <c r="I495" s="18">
        <v>140734.21</v>
      </c>
      <c r="J495" s="18"/>
      <c r="K495" s="53">
        <f>SUM(F495:J495)</f>
        <v>5806767.9199999999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229589.72</v>
      </c>
      <c r="G497" s="18">
        <v>210000</v>
      </c>
      <c r="H497" s="18">
        <v>380000</v>
      </c>
      <c r="I497" s="18">
        <v>140734.43</v>
      </c>
      <c r="J497" s="18"/>
      <c r="K497" s="53">
        <f t="shared" si="35"/>
        <v>960324.14999999991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216443.65</v>
      </c>
      <c r="G498" s="204">
        <v>220000</v>
      </c>
      <c r="H498" s="204">
        <v>4410000</v>
      </c>
      <c r="I498" s="204">
        <v>0</v>
      </c>
      <c r="J498" s="204"/>
      <c r="K498" s="205">
        <f t="shared" si="35"/>
        <v>4846443.6500000004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462531.35</v>
      </c>
      <c r="G499" s="18">
        <v>6325</v>
      </c>
      <c r="H499" s="18">
        <v>952931</v>
      </c>
      <c r="I499" s="18">
        <v>0</v>
      </c>
      <c r="J499" s="18"/>
      <c r="K499" s="53">
        <f t="shared" si="35"/>
        <v>1421787.35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678975</v>
      </c>
      <c r="G500" s="42">
        <f>SUM(G498:G499)</f>
        <v>226325</v>
      </c>
      <c r="H500" s="42">
        <f>SUM(H498:H499)</f>
        <v>5362931</v>
      </c>
      <c r="I500" s="42">
        <f>SUM(I498:I499)</f>
        <v>0</v>
      </c>
      <c r="J500" s="42">
        <f>SUM(J498:J499)</f>
        <v>0</v>
      </c>
      <c r="K500" s="42">
        <f t="shared" si="35"/>
        <v>6268231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216443.65</v>
      </c>
      <c r="G501" s="204">
        <v>220000</v>
      </c>
      <c r="H501" s="204">
        <v>400000</v>
      </c>
      <c r="I501" s="204">
        <v>0</v>
      </c>
      <c r="J501" s="204"/>
      <c r="K501" s="205">
        <f t="shared" si="35"/>
        <v>836443.65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462531.35</v>
      </c>
      <c r="G502" s="18">
        <v>6325</v>
      </c>
      <c r="H502" s="18">
        <f>91721.5+99062.5</f>
        <v>190784</v>
      </c>
      <c r="I502" s="18">
        <v>0</v>
      </c>
      <c r="J502" s="18"/>
      <c r="K502" s="53">
        <f t="shared" si="35"/>
        <v>659640.35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678975</v>
      </c>
      <c r="G503" s="42">
        <f>SUM(G501:G502)</f>
        <v>226325</v>
      </c>
      <c r="H503" s="42">
        <f>SUM(H501:H502)</f>
        <v>590784</v>
      </c>
      <c r="I503" s="42">
        <f>SUM(I501:I502)</f>
        <v>0</v>
      </c>
      <c r="J503" s="42">
        <f>SUM(J501:J502)</f>
        <v>0</v>
      </c>
      <c r="K503" s="42">
        <f t="shared" si="35"/>
        <v>1496084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719441.21-39685.16-79001</f>
        <v>600755.04999999993</v>
      </c>
      <c r="G522" s="18">
        <f>F522*0.2</f>
        <v>120151.01</v>
      </c>
      <c r="H522" s="18">
        <f>743244.6-H527-H537-H542</f>
        <v>566468.85919999995</v>
      </c>
      <c r="I522" s="18">
        <v>3661.59</v>
      </c>
      <c r="J522" s="18">
        <v>4090.01</v>
      </c>
      <c r="K522" s="18"/>
      <c r="L522" s="88">
        <f>SUM(F522:K522)</f>
        <v>1295126.5192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1127799.43-280283.41-73185</f>
        <v>774331.02</v>
      </c>
      <c r="G523" s="18">
        <f>F523*0.2</f>
        <v>154866.204</v>
      </c>
      <c r="H523" s="18">
        <f>1495160.02-H528-H538-H543</f>
        <v>1085414.3607999999</v>
      </c>
      <c r="I523" s="18">
        <v>16126.6</v>
      </c>
      <c r="J523" s="18">
        <v>2122.86</v>
      </c>
      <c r="K523" s="18">
        <v>250</v>
      </c>
      <c r="L523" s="88">
        <f>SUM(F523:K523)</f>
        <v>2033111.0448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1375086.0699999998</v>
      </c>
      <c r="G524" s="108">
        <f t="shared" ref="G524:L524" si="36">SUM(G521:G523)</f>
        <v>275017.21399999998</v>
      </c>
      <c r="H524" s="108">
        <f>SUM(H521:H523)</f>
        <v>1651883.2199999997</v>
      </c>
      <c r="I524" s="108">
        <f t="shared" si="36"/>
        <v>19788.190000000002</v>
      </c>
      <c r="J524" s="108">
        <f t="shared" si="36"/>
        <v>6212.8700000000008</v>
      </c>
      <c r="K524" s="108">
        <f t="shared" si="36"/>
        <v>250</v>
      </c>
      <c r="L524" s="89">
        <f t="shared" si="36"/>
        <v>3328237.5640000002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39685.160000000003</v>
      </c>
      <c r="G527" s="18">
        <f>F527*0.2</f>
        <v>7937.0320000000011</v>
      </c>
      <c r="H527" s="18">
        <v>46655.79</v>
      </c>
      <c r="I527" s="18"/>
      <c r="J527" s="18"/>
      <c r="K527" s="18"/>
      <c r="L527" s="88">
        <f>SUM(F527:K527)</f>
        <v>94277.982000000004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280283.40999999997</v>
      </c>
      <c r="G528" s="18">
        <f>F528*0.2</f>
        <v>56056.682000000001</v>
      </c>
      <c r="H528" s="18">
        <v>126002.86</v>
      </c>
      <c r="I528" s="18"/>
      <c r="J528" s="18"/>
      <c r="K528" s="18"/>
      <c r="L528" s="88">
        <f>SUM(F528:K528)</f>
        <v>462342.95199999993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319968.56999999995</v>
      </c>
      <c r="G529" s="89">
        <f t="shared" ref="G529:L529" si="37">SUM(G526:G528)</f>
        <v>63993.714</v>
      </c>
      <c r="H529" s="89">
        <f t="shared" si="37"/>
        <v>172658.65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556620.93399999989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79001</v>
      </c>
      <c r="G532" s="18">
        <f>F532*0.2</f>
        <v>15800.2</v>
      </c>
      <c r="H532" s="18"/>
      <c r="I532" s="18"/>
      <c r="J532" s="18"/>
      <c r="K532" s="18"/>
      <c r="L532" s="88">
        <f>SUM(F532:K532)</f>
        <v>94801.2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73185</v>
      </c>
      <c r="G533" s="18">
        <f>F533*0.2</f>
        <v>14637</v>
      </c>
      <c r="H533" s="18"/>
      <c r="I533" s="18"/>
      <c r="J533" s="18"/>
      <c r="K533" s="18"/>
      <c r="L533" s="88">
        <f>SUM(F533:K533)</f>
        <v>87822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152186</v>
      </c>
      <c r="G534" s="89">
        <f t="shared" ref="G534:L534" si="38">SUM(G531:G533)</f>
        <v>30437.200000000001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182623.2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27318.28*0.36</f>
        <v>9834.5807999999997</v>
      </c>
      <c r="I537" s="18"/>
      <c r="J537" s="18"/>
      <c r="K537" s="18"/>
      <c r="L537" s="88">
        <f>SUM(F537:K537)</f>
        <v>9834.5807999999997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27318.28*0.64</f>
        <v>17483.699199999999</v>
      </c>
      <c r="I538" s="18"/>
      <c r="J538" s="18"/>
      <c r="K538" s="18"/>
      <c r="L538" s="88">
        <f>SUM(F538:K538)</f>
        <v>17483.699199999999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27318.28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27318.28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120285.37</f>
        <v>120285.37</v>
      </c>
      <c r="I542" s="18"/>
      <c r="J542" s="18"/>
      <c r="K542" s="18"/>
      <c r="L542" s="88">
        <f>SUM(F542:K542)</f>
        <v>120285.37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266259.09999999998</v>
      </c>
      <c r="I543" s="18"/>
      <c r="J543" s="18"/>
      <c r="K543" s="18"/>
      <c r="L543" s="88">
        <f>SUM(F543:K543)</f>
        <v>266259.09999999998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386544.47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386544.47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1847240.6399999997</v>
      </c>
      <c r="G545" s="89">
        <f t="shared" ref="G545:L545" si="41">G524+G529+G534+G539+G544</f>
        <v>369448.12799999997</v>
      </c>
      <c r="H545" s="89">
        <f t="shared" si="41"/>
        <v>2238404.6199999996</v>
      </c>
      <c r="I545" s="89">
        <f t="shared" si="41"/>
        <v>19788.190000000002</v>
      </c>
      <c r="J545" s="89">
        <f t="shared" si="41"/>
        <v>6212.8700000000008</v>
      </c>
      <c r="K545" s="89">
        <f t="shared" si="41"/>
        <v>250</v>
      </c>
      <c r="L545" s="89">
        <f t="shared" si="41"/>
        <v>4481344.4479999999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1295126.5192</v>
      </c>
      <c r="G550" s="87">
        <f>L527</f>
        <v>94277.982000000004</v>
      </c>
      <c r="H550" s="87">
        <f>L532</f>
        <v>94801.2</v>
      </c>
      <c r="I550" s="87">
        <f>L537</f>
        <v>9834.5807999999997</v>
      </c>
      <c r="J550" s="87">
        <f>L542</f>
        <v>120285.37</v>
      </c>
      <c r="K550" s="87">
        <f>SUM(F550:J550)</f>
        <v>1614325.6520000002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2033111.0448</v>
      </c>
      <c r="G551" s="87">
        <f>L528</f>
        <v>462342.95199999993</v>
      </c>
      <c r="H551" s="87">
        <f>L533</f>
        <v>87822</v>
      </c>
      <c r="I551" s="87">
        <f>L538</f>
        <v>17483.699199999999</v>
      </c>
      <c r="J551" s="87">
        <f>L543</f>
        <v>266259.09999999998</v>
      </c>
      <c r="K551" s="87">
        <f>SUM(F551:J551)</f>
        <v>2867018.7960000001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3328237.5640000002</v>
      </c>
      <c r="G552" s="89">
        <f t="shared" si="42"/>
        <v>556620.93399999989</v>
      </c>
      <c r="H552" s="89">
        <f t="shared" si="42"/>
        <v>182623.2</v>
      </c>
      <c r="I552" s="89">
        <f t="shared" si="42"/>
        <v>27318.28</v>
      </c>
      <c r="J552" s="89">
        <f t="shared" si="42"/>
        <v>386544.47</v>
      </c>
      <c r="K552" s="89">
        <f t="shared" si="42"/>
        <v>4481344.4480000008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391307.06</v>
      </c>
      <c r="H582" s="18">
        <v>477104.66</v>
      </c>
      <c r="I582" s="87">
        <f t="shared" si="47"/>
        <v>868411.72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231446.76</v>
      </c>
      <c r="I583" s="87">
        <f t="shared" si="47"/>
        <v>231446.76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44145.15</v>
      </c>
      <c r="I584" s="87">
        <f t="shared" si="47"/>
        <v>44145.15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f>19857.99+183933.04</f>
        <v>203791.03</v>
      </c>
      <c r="J591" s="18">
        <f>36879.13+181702.51</f>
        <v>218581.64</v>
      </c>
      <c r="K591" s="104">
        <f t="shared" ref="K591:K597" si="48">SUM(H591:J591)</f>
        <v>422372.67000000004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f>120285.37</f>
        <v>120285.37</v>
      </c>
      <c r="J592" s="18">
        <f>266259.1</f>
        <v>266259.09999999998</v>
      </c>
      <c r="K592" s="104">
        <f t="shared" si="48"/>
        <v>386544.47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85788.43+5531.87</f>
        <v>91320.299999999988</v>
      </c>
      <c r="K593" s="104">
        <f t="shared" si="48"/>
        <v>91320.299999999988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9104+595.74</f>
        <v>9699.74</v>
      </c>
      <c r="J594" s="18">
        <f>44380.43+2950.33</f>
        <v>47330.76</v>
      </c>
      <c r="K594" s="104">
        <f t="shared" si="48"/>
        <v>57030.5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333776.14</v>
      </c>
      <c r="J598" s="108">
        <f>SUM(J591:J597)</f>
        <v>623491.80000000005</v>
      </c>
      <c r="K598" s="108">
        <f>SUM(K591:K597)</f>
        <v>957267.94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29266.13</v>
      </c>
      <c r="J604" s="18">
        <f>495.46+47555.18</f>
        <v>48050.64</v>
      </c>
      <c r="K604" s="104">
        <f>SUM(H604:J604)</f>
        <v>77316.77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29266.13</v>
      </c>
      <c r="J605" s="108">
        <f>SUM(J602:J604)</f>
        <v>48050.64</v>
      </c>
      <c r="K605" s="108">
        <f>SUM(K602:K604)</f>
        <v>77316.77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1675102.8299999998</v>
      </c>
      <c r="H617" s="109">
        <f>SUM(F52)</f>
        <v>1675102.83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19114.02</v>
      </c>
      <c r="H618" s="109">
        <f>SUM(G52)</f>
        <v>19114.02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279106.94</v>
      </c>
      <c r="H619" s="109">
        <f>SUM(H52)</f>
        <v>279106.94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69662.77</v>
      </c>
      <c r="H621" s="109">
        <f>SUM(J52)</f>
        <v>69662.76999999999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701062.53</v>
      </c>
      <c r="H622" s="109">
        <f>F476</f>
        <v>701062.53000000119</v>
      </c>
      <c r="I622" s="121" t="s">
        <v>101</v>
      </c>
      <c r="J622" s="109">
        <f t="shared" ref="J622:J655" si="50">G622-H622</f>
        <v>-1.1641532182693481E-9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1640.5500000000002</v>
      </c>
      <c r="H623" s="109">
        <f>G476</f>
        <v>1640.5499999999884</v>
      </c>
      <c r="I623" s="121" t="s">
        <v>102</v>
      </c>
      <c r="J623" s="109">
        <f t="shared" si="50"/>
        <v>1.1823431123048067E-11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49951.119999999995</v>
      </c>
      <c r="H626" s="109">
        <f>J476</f>
        <v>49951.12000000001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20451095.59</v>
      </c>
      <c r="H627" s="104">
        <f>SUM(F468)</f>
        <v>20451095.59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393747.30999999994</v>
      </c>
      <c r="H628" s="104">
        <f>SUM(G468)</f>
        <v>393747.31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289008.94</v>
      </c>
      <c r="H629" s="104">
        <f>SUM(H468)</f>
        <v>289008.94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76617.820000000007</v>
      </c>
      <c r="H631" s="104">
        <f>SUM(J468)</f>
        <v>76617.820000000007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20442051.660000004</v>
      </c>
      <c r="H632" s="104">
        <f>SUM(F472)</f>
        <v>20442051.66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289008.94</v>
      </c>
      <c r="H633" s="104">
        <f>SUM(H472)</f>
        <v>289008.94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227645.66999999998</v>
      </c>
      <c r="H634" s="104">
        <f>I369</f>
        <v>227645.66999999998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410207.08999999997</v>
      </c>
      <c r="H635" s="104">
        <f>SUM(G472)</f>
        <v>410207.09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76617.819999999992</v>
      </c>
      <c r="H637" s="164">
        <f>SUM(J468)</f>
        <v>76617.820000000007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71655.87000000001</v>
      </c>
      <c r="H638" s="164">
        <f>SUM(J472)</f>
        <v>71655.87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69662.77</v>
      </c>
      <c r="H640" s="104">
        <f>SUM(G461)</f>
        <v>69662.76999999999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69662.77</v>
      </c>
      <c r="H642" s="104">
        <f>SUM(I461)</f>
        <v>69662.76999999999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138.82</v>
      </c>
      <c r="H644" s="104">
        <f>H408</f>
        <v>138.82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76479</v>
      </c>
      <c r="H645" s="104">
        <f>G408</f>
        <v>76479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76617.820000000007</v>
      </c>
      <c r="H646" s="104">
        <f>L408</f>
        <v>76617.819999999992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957267.94</v>
      </c>
      <c r="H647" s="104">
        <f>L208+L226+L244</f>
        <v>957267.94000000006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77316.77</v>
      </c>
      <c r="H648" s="104">
        <f>(J257+J338)-(J255+J336)</f>
        <v>77316.77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333776.14</v>
      </c>
      <c r="H650" s="104">
        <f>I598</f>
        <v>333776.14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623491.80000000005</v>
      </c>
      <c r="H651" s="104">
        <f>J598</f>
        <v>623491.80000000005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76479</v>
      </c>
      <c r="H655" s="104">
        <f>K266+K347</f>
        <v>76479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6776290.5184000013</v>
      </c>
      <c r="H660" s="19">
        <f>(L247+L328+L360)</f>
        <v>12464146.231600003</v>
      </c>
      <c r="I660" s="19">
        <f>SUM(F660:H660)</f>
        <v>19240436.750000004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115839.63852947763</v>
      </c>
      <c r="H661" s="19">
        <f>(L360/IF(SUM(L358:L360)=0,1,SUM(L358:L360))*(SUM(G97:G110)))</f>
        <v>228872.35147052238</v>
      </c>
      <c r="I661" s="19">
        <f>SUM(F661:H661)</f>
        <v>344711.99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333776.14</v>
      </c>
      <c r="H662" s="19">
        <f>(L244+L325)-(J244+J325)</f>
        <v>623491.80000000005</v>
      </c>
      <c r="I662" s="19">
        <f>SUM(F662:H662)</f>
        <v>957267.94000000006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420573.19</v>
      </c>
      <c r="H663" s="199">
        <f>SUM(H575:H587)+SUM(J602:J604)+L613</f>
        <v>800747.21</v>
      </c>
      <c r="I663" s="19">
        <f>SUM(F663:H663)</f>
        <v>1221320.3999999999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5906101.5498705236</v>
      </c>
      <c r="H664" s="19">
        <f>H660-SUM(H661:H663)</f>
        <v>10811034.870129481</v>
      </c>
      <c r="I664" s="19">
        <f>I660-SUM(I661:I663)</f>
        <v>16717136.420000004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404.78</v>
      </c>
      <c r="H665" s="248">
        <v>803.55</v>
      </c>
      <c r="I665" s="19">
        <f>SUM(F665:H665)</f>
        <v>1208.33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14590.89</v>
      </c>
      <c r="H667" s="19">
        <f>ROUND(H664/H665,2)</f>
        <v>13454.09</v>
      </c>
      <c r="I667" s="19">
        <f>ROUND(I664/I665,2)</f>
        <v>13834.91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-10.39</v>
      </c>
      <c r="I670" s="19">
        <f>SUM(F670:H670)</f>
        <v>-10.39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14590.89</v>
      </c>
      <c r="H672" s="19">
        <f>ROUND((H664+H669)/(H665+H670),2)</f>
        <v>13630.33</v>
      </c>
      <c r="I672" s="19">
        <f>ROUND((I664+I669)/(I665+I670),2)</f>
        <v>13954.9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Hollis Brookline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5052299.07</v>
      </c>
      <c r="C9" s="229">
        <f>'DOE25'!G197+'DOE25'!G215+'DOE25'!G233+'DOE25'!G276+'DOE25'!G295+'DOE25'!G314</f>
        <v>2176867.36</v>
      </c>
    </row>
    <row r="10" spans="1:3" x14ac:dyDescent="0.2">
      <c r="A10" t="s">
        <v>779</v>
      </c>
      <c r="B10" s="240">
        <f>5052299.07-28891.5</f>
        <v>5023407.57</v>
      </c>
      <c r="C10" s="240">
        <f>2176867.36-C12</f>
        <v>2164418.98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28891.5</v>
      </c>
      <c r="C12" s="240">
        <v>12448.38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5052299.07</v>
      </c>
      <c r="C13" s="231">
        <f>SUM(C10:C12)</f>
        <v>2176867.36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1821860.19</v>
      </c>
      <c r="C18" s="229">
        <f>'DOE25'!G198+'DOE25'!G216+'DOE25'!G234+'DOE25'!G277+'DOE25'!G296+'DOE25'!G315</f>
        <v>704396.9</v>
      </c>
    </row>
    <row r="19" spans="1:3" x14ac:dyDescent="0.2">
      <c r="A19" t="s">
        <v>779</v>
      </c>
      <c r="B19" s="240">
        <f>805028.93+37290+50998.4+3572.66+38437.26+202727.04-73185</f>
        <v>1064869.29</v>
      </c>
      <c r="C19" s="240">
        <v>411716.94</v>
      </c>
    </row>
    <row r="20" spans="1:3" x14ac:dyDescent="0.2">
      <c r="A20" t="s">
        <v>780</v>
      </c>
      <c r="B20" s="240">
        <f>643423.75+1944.9+38437.25</f>
        <v>683805.9</v>
      </c>
      <c r="C20" s="240">
        <v>264384</v>
      </c>
    </row>
    <row r="21" spans="1:3" x14ac:dyDescent="0.2">
      <c r="A21" t="s">
        <v>781</v>
      </c>
      <c r="B21" s="240">
        <v>73185</v>
      </c>
      <c r="C21" s="240">
        <v>28295.96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1821860.19</v>
      </c>
      <c r="C22" s="231">
        <f>SUM(C19:C21)</f>
        <v>704396.89999999991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354171</v>
      </c>
      <c r="C36" s="235">
        <f>'DOE25'!G200+'DOE25'!G218+'DOE25'!G236+'DOE25'!G279+'DOE25'!G298+'DOE25'!G317</f>
        <v>168441.59000000003</v>
      </c>
    </row>
    <row r="37" spans="1:3" x14ac:dyDescent="0.2">
      <c r="A37" t="s">
        <v>779</v>
      </c>
      <c r="B37" s="240">
        <v>233000</v>
      </c>
      <c r="C37" s="240">
        <v>110813.39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121171</v>
      </c>
      <c r="C39" s="240">
        <v>57628.2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354171</v>
      </c>
      <c r="C40" s="231">
        <f>SUM(C37:C39)</f>
        <v>168441.59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Hollis Brookline Cooperative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12073149.82</v>
      </c>
      <c r="D5" s="20">
        <f>SUM('DOE25'!L197:L200)+SUM('DOE25'!L215:L218)+SUM('DOE25'!L233:L236)-F5-G5</f>
        <v>12022389.120000001</v>
      </c>
      <c r="E5" s="243"/>
      <c r="F5" s="255">
        <f>SUM('DOE25'!J197:J200)+SUM('DOE25'!J215:J218)+SUM('DOE25'!J233:J236)</f>
        <v>30382.699999999997</v>
      </c>
      <c r="G5" s="53">
        <f>SUM('DOE25'!K197:K200)+SUM('DOE25'!K215:K218)+SUM('DOE25'!K233:K236)</f>
        <v>20378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1690683.9300000004</v>
      </c>
      <c r="D6" s="20">
        <f>'DOE25'!L202+'DOE25'!L220+'DOE25'!L238-F6-G6</f>
        <v>1689432.9300000004</v>
      </c>
      <c r="E6" s="243"/>
      <c r="F6" s="255">
        <f>'DOE25'!J202+'DOE25'!J220+'DOE25'!J238</f>
        <v>0</v>
      </c>
      <c r="G6" s="53">
        <f>'DOE25'!K202+'DOE25'!K220+'DOE25'!K238</f>
        <v>1251</v>
      </c>
      <c r="H6" s="259"/>
    </row>
    <row r="7" spans="1:9" x14ac:dyDescent="0.2">
      <c r="A7" s="32">
        <v>2200</v>
      </c>
      <c r="B7" t="s">
        <v>834</v>
      </c>
      <c r="C7" s="245">
        <f t="shared" si="0"/>
        <v>526268.43000000005</v>
      </c>
      <c r="D7" s="20">
        <f>'DOE25'!L203+'DOE25'!L221+'DOE25'!L239-F7-G7</f>
        <v>490906.36000000004</v>
      </c>
      <c r="E7" s="243"/>
      <c r="F7" s="255">
        <f>'DOE25'!J203+'DOE25'!J221+'DOE25'!J239</f>
        <v>35362.07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502360.91</v>
      </c>
      <c r="D8" s="243"/>
      <c r="E8" s="20">
        <f>'DOE25'!L204+'DOE25'!L222+'DOE25'!L240-F8-G8-D9-D11</f>
        <v>502360.91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60130.89</v>
      </c>
      <c r="D9" s="244">
        <v>60130.89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12750</v>
      </c>
      <c r="D10" s="243"/>
      <c r="E10" s="244">
        <v>12750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221078.07</v>
      </c>
      <c r="D11" s="244">
        <v>221078.07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1220337.5</v>
      </c>
      <c r="D12" s="20">
        <f>'DOE25'!L205+'DOE25'!L223+'DOE25'!L241-F12-G12</f>
        <v>1203086.3600000001</v>
      </c>
      <c r="E12" s="243"/>
      <c r="F12" s="255">
        <f>'DOE25'!J205+'DOE25'!J223+'DOE25'!J241</f>
        <v>0</v>
      </c>
      <c r="G12" s="53">
        <f>'DOE25'!K205+'DOE25'!K223+'DOE25'!K241</f>
        <v>17251.14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562.19000000000005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562.19000000000005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1288931.04</v>
      </c>
      <c r="D14" s="20">
        <f>'DOE25'!L207+'DOE25'!L225+'DOE25'!L243-F14-G14</f>
        <v>1277359.04</v>
      </c>
      <c r="E14" s="243"/>
      <c r="F14" s="255">
        <f>'DOE25'!J207+'DOE25'!J225+'DOE25'!J243</f>
        <v>11572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957267.94000000006</v>
      </c>
      <c r="D15" s="20">
        <f>'DOE25'!L208+'DOE25'!L226+'DOE25'!L244-F15-G15</f>
        <v>957267.94000000006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450</v>
      </c>
      <c r="D16" s="243"/>
      <c r="E16" s="20">
        <f>'DOE25'!L209+'DOE25'!L227+'DOE25'!L245-F16-G16</f>
        <v>450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21644.19</v>
      </c>
      <c r="D22" s="243"/>
      <c r="E22" s="243"/>
      <c r="F22" s="255">
        <f>'DOE25'!L255+'DOE25'!L336</f>
        <v>21644.19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1802707.75</v>
      </c>
      <c r="D25" s="243"/>
      <c r="E25" s="243"/>
      <c r="F25" s="258"/>
      <c r="G25" s="256"/>
      <c r="H25" s="257">
        <f>'DOE25'!L260+'DOE25'!L261+'DOE25'!L341+'DOE25'!L342</f>
        <v>1802707.75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202809.74999999997</v>
      </c>
      <c r="D29" s="20">
        <f>'DOE25'!L358+'DOE25'!L359+'DOE25'!L360-'DOE25'!I367-F29-G29</f>
        <v>202809.74999999997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289008.94</v>
      </c>
      <c r="D31" s="20">
        <f>'DOE25'!L290+'DOE25'!L309+'DOE25'!L328+'DOE25'!L333+'DOE25'!L334+'DOE25'!L335-F31-G31</f>
        <v>282451.37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6557.57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18406911.830000002</v>
      </c>
      <c r="E33" s="246">
        <f>SUM(E5:E31)</f>
        <v>515560.91</v>
      </c>
      <c r="F33" s="246">
        <f>SUM(F5:F31)</f>
        <v>98960.959999999992</v>
      </c>
      <c r="G33" s="246">
        <f>SUM(G5:G31)</f>
        <v>45999.9</v>
      </c>
      <c r="H33" s="246">
        <f>SUM(H5:H31)</f>
        <v>1802707.75</v>
      </c>
    </row>
    <row r="35" spans="2:8" ht="12" thickBot="1" x14ac:dyDescent="0.25">
      <c r="B35" s="253" t="s">
        <v>847</v>
      </c>
      <c r="D35" s="254">
        <f>E33</f>
        <v>515560.91</v>
      </c>
      <c r="E35" s="249"/>
    </row>
    <row r="36" spans="2:8" ht="12" thickTop="1" x14ac:dyDescent="0.2">
      <c r="B36" t="s">
        <v>815</v>
      </c>
      <c r="D36" s="20">
        <f>D33</f>
        <v>18406911.830000002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 Brookline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538685.07999999996</v>
      </c>
      <c r="D8" s="95">
        <f>'DOE25'!G9</f>
        <v>31601.93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7835.46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974726.88</v>
      </c>
      <c r="D11" s="95">
        <f>'DOE25'!G12</f>
        <v>-43833.279999999999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144597.91</v>
      </c>
      <c r="D12" s="95">
        <f>'DOE25'!G13</f>
        <v>24062.1</v>
      </c>
      <c r="E12" s="95">
        <f>'DOE25'!H13</f>
        <v>279106.94</v>
      </c>
      <c r="F12" s="95">
        <f>'DOE25'!I13</f>
        <v>0</v>
      </c>
      <c r="G12" s="95">
        <f>'DOE25'!J13</f>
        <v>69662.77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562.19000000000005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7283.27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9257.5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-562.19000000000005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1675102.8299999998</v>
      </c>
      <c r="D18" s="41">
        <f>SUM(D8:D17)</f>
        <v>19114.02</v>
      </c>
      <c r="E18" s="41">
        <f>SUM(E8:E17)</f>
        <v>279106.94</v>
      </c>
      <c r="F18" s="41">
        <f>SUM(F8:F17)</f>
        <v>0</v>
      </c>
      <c r="G18" s="41">
        <f>SUM(G8:G17)</f>
        <v>69662.77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766345.4</v>
      </c>
      <c r="D21" s="95">
        <f>'DOE25'!G22</f>
        <v>0</v>
      </c>
      <c r="E21" s="95">
        <f>'DOE25'!H22</f>
        <v>16992.36</v>
      </c>
      <c r="F21" s="95">
        <f>'DOE25'!I22</f>
        <v>0</v>
      </c>
      <c r="G21" s="95">
        <f>'DOE25'!J22</f>
        <v>17435.25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4769.8599999999997</v>
      </c>
      <c r="D22" s="95">
        <f>'DOE25'!G23</f>
        <v>22.5</v>
      </c>
      <c r="E22" s="95">
        <f>'DOE25'!H23</f>
        <v>262114.58000000002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113825.84</v>
      </c>
      <c r="D23" s="95">
        <f>'DOE25'!G24</f>
        <v>400</v>
      </c>
      <c r="E23" s="95">
        <f>'DOE25'!H24</f>
        <v>0</v>
      </c>
      <c r="F23" s="95">
        <f>'DOE25'!I24</f>
        <v>0</v>
      </c>
      <c r="G23" s="95">
        <f>'DOE25'!J24</f>
        <v>2276.4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88874.2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225</v>
      </c>
      <c r="D29" s="95">
        <f>'DOE25'!G30</f>
        <v>17050.97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974040.29999999993</v>
      </c>
      <c r="D31" s="41">
        <f>SUM(D21:D30)</f>
        <v>17473.47</v>
      </c>
      <c r="E31" s="41">
        <f>SUM(E21:E30)</f>
        <v>279106.94</v>
      </c>
      <c r="F31" s="41">
        <f>SUM(F21:F30)</f>
        <v>0</v>
      </c>
      <c r="G31" s="41">
        <f>SUM(G21:G30)</f>
        <v>19711.650000000001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7283.27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9257.5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-5642.72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187000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141762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49951.119999999995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10264.32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352778.71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701062.53</v>
      </c>
      <c r="D50" s="41">
        <f>SUM(D34:D49)</f>
        <v>1640.5500000000002</v>
      </c>
      <c r="E50" s="41">
        <f>SUM(E34:E49)</f>
        <v>0</v>
      </c>
      <c r="F50" s="41">
        <f>SUM(F34:F49)</f>
        <v>0</v>
      </c>
      <c r="G50" s="41">
        <f>SUM(G34:G49)</f>
        <v>49951.119999999995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1675102.83</v>
      </c>
      <c r="D51" s="41">
        <f>D50+D31</f>
        <v>19114.02</v>
      </c>
      <c r="E51" s="41">
        <f>E50+E31</f>
        <v>279106.94</v>
      </c>
      <c r="F51" s="41">
        <f>F50+F31</f>
        <v>0</v>
      </c>
      <c r="G51" s="41">
        <f>G50+G31</f>
        <v>69662.76999999999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13825076.1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6471.9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1395.94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138.82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344711.99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217073.33000000002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224941.17</v>
      </c>
      <c r="D62" s="130">
        <f>SUM(D57:D61)</f>
        <v>344711.99</v>
      </c>
      <c r="E62" s="130">
        <f>SUM(E57:E61)</f>
        <v>0</v>
      </c>
      <c r="F62" s="130">
        <f>SUM(F57:F61)</f>
        <v>0</v>
      </c>
      <c r="G62" s="130">
        <f>SUM(G57:G61)</f>
        <v>138.82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14050017.27</v>
      </c>
      <c r="D63" s="22">
        <f>D56+D62</f>
        <v>344711.99</v>
      </c>
      <c r="E63" s="22">
        <f>E56+E62</f>
        <v>0</v>
      </c>
      <c r="F63" s="22">
        <f>F56+F62</f>
        <v>0</v>
      </c>
      <c r="G63" s="22">
        <f>G56+G62</f>
        <v>138.82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3062518.45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2152706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5215224.45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404512.37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579519.86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5926.6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3190.1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989958.83</v>
      </c>
      <c r="D78" s="130">
        <f>SUM(D72:D77)</f>
        <v>3190.1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6205183.2800000003</v>
      </c>
      <c r="D81" s="130">
        <f>SUM(D79:D80)+D78+D70</f>
        <v>3190.1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16161.88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195895.04000000001</v>
      </c>
      <c r="D88" s="95">
        <f>SUM('DOE25'!G153:G161)</f>
        <v>29683.34</v>
      </c>
      <c r="E88" s="95">
        <f>SUM('DOE25'!H153:H161)</f>
        <v>289008.94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195895.04000000001</v>
      </c>
      <c r="D91" s="131">
        <f>SUM(D85:D90)</f>
        <v>45845.22</v>
      </c>
      <c r="E91" s="131">
        <f>SUM(E85:E90)</f>
        <v>289008.94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76479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76479</v>
      </c>
    </row>
    <row r="104" spans="1:7" ht="12.75" thickTop="1" thickBot="1" x14ac:dyDescent="0.25">
      <c r="A104" s="33" t="s">
        <v>765</v>
      </c>
      <c r="C104" s="86">
        <f>C63+C81+C91+C103</f>
        <v>20451095.59</v>
      </c>
      <c r="D104" s="86">
        <f>D63+D81+D91+D103</f>
        <v>393747.30999999994</v>
      </c>
      <c r="E104" s="86">
        <f>E63+E81+E91+E103</f>
        <v>289008.94</v>
      </c>
      <c r="F104" s="86">
        <f>F63+F81+F91+F103</f>
        <v>0</v>
      </c>
      <c r="G104" s="86">
        <f>G63+G81+G103</f>
        <v>76617.820000000007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7408049.8700000001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3993810.5200000005</v>
      </c>
      <c r="D110" s="24" t="s">
        <v>289</v>
      </c>
      <c r="E110" s="95">
        <f>('DOE25'!L277)+('DOE25'!L296)+('DOE25'!L315)</f>
        <v>259728.08000000002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44145.15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627144.28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12073149.82</v>
      </c>
      <c r="D115" s="86">
        <f>SUM(D109:D114)</f>
        <v>0</v>
      </c>
      <c r="E115" s="86">
        <f>SUM(E109:E114)</f>
        <v>259728.08000000002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1690683.9300000004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526268.43000000005</v>
      </c>
      <c r="D119" s="24" t="s">
        <v>289</v>
      </c>
      <c r="E119" s="95">
        <f>+('DOE25'!L282)+('DOE25'!L301)+('DOE25'!L320)</f>
        <v>22723.29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783569.87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1220337.5</v>
      </c>
      <c r="D121" s="24" t="s">
        <v>289</v>
      </c>
      <c r="E121" s="95">
        <f>+('DOE25'!L284)+('DOE25'!L303)+('DOE25'!L322)</f>
        <v>6557.57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562.19000000000005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1288931.04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957267.94000000006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450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410207.08999999997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6468070.9000000013</v>
      </c>
      <c r="D128" s="86">
        <f>SUM(D118:D127)</f>
        <v>410207.08999999997</v>
      </c>
      <c r="E128" s="86">
        <f>SUM(E118:E127)</f>
        <v>29280.86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21644.19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960324.15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842383.6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3008.33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76617.819999999992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-138.81999999999243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1900830.94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3008.33</v>
      </c>
    </row>
    <row r="145" spans="1:9" ht="12.75" thickTop="1" thickBot="1" x14ac:dyDescent="0.25">
      <c r="A145" s="33" t="s">
        <v>244</v>
      </c>
      <c r="C145" s="86">
        <f>(C115+C128+C144)</f>
        <v>20442051.660000004</v>
      </c>
      <c r="D145" s="86">
        <f>(D115+D128+D144)</f>
        <v>410207.08999999997</v>
      </c>
      <c r="E145" s="86">
        <f>(E115+E128+E144)</f>
        <v>289008.94</v>
      </c>
      <c r="F145" s="86">
        <f>(F115+F128+F144)</f>
        <v>0</v>
      </c>
      <c r="G145" s="86">
        <f>(G115+G128+G144)</f>
        <v>3008.33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15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08/96</v>
      </c>
      <c r="C152" s="152" t="str">
        <f>'DOE25'!G491</f>
        <v>08/96</v>
      </c>
      <c r="D152" s="152" t="str">
        <f>'DOE25'!H491</f>
        <v>08/04</v>
      </c>
      <c r="E152" s="152" t="str">
        <f>'DOE25'!I491</f>
        <v>08/00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 t="str">
        <f>'DOE25'!G492</f>
        <v>08/16</v>
      </c>
      <c r="D153" s="152" t="str">
        <f>'DOE25'!H492</f>
        <v>08/24</v>
      </c>
      <c r="E153" s="152" t="str">
        <f>'DOE25'!I492</f>
        <v>08/15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8100000</v>
      </c>
      <c r="C154" s="137">
        <f>'DOE25'!G493</f>
        <v>2700000</v>
      </c>
      <c r="D154" s="137">
        <f>'DOE25'!H493</f>
        <v>7703400</v>
      </c>
      <c r="E154" s="137">
        <f>'DOE25'!I493</f>
        <v>3200000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5.71</v>
      </c>
      <c r="C155" s="137">
        <f>'DOE25'!G494</f>
        <v>5.71</v>
      </c>
      <c r="D155" s="137">
        <f>'DOE25'!H494</f>
        <v>4.54</v>
      </c>
      <c r="E155" s="137">
        <f>'DOE25'!I494</f>
        <v>5.2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446033.71</v>
      </c>
      <c r="C156" s="137">
        <f>'DOE25'!G495</f>
        <v>430000</v>
      </c>
      <c r="D156" s="137">
        <f>'DOE25'!H495</f>
        <v>4790000</v>
      </c>
      <c r="E156" s="137">
        <f>'DOE25'!I495</f>
        <v>140734.21</v>
      </c>
      <c r="F156" s="137">
        <f>'DOE25'!J495</f>
        <v>0</v>
      </c>
      <c r="G156" s="138">
        <f>SUM(B156:F156)</f>
        <v>5806767.9199999999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229589.72</v>
      </c>
      <c r="C158" s="137">
        <f>'DOE25'!G497</f>
        <v>210000</v>
      </c>
      <c r="D158" s="137">
        <f>'DOE25'!H497</f>
        <v>380000</v>
      </c>
      <c r="E158" s="137">
        <f>'DOE25'!I497</f>
        <v>140734.43</v>
      </c>
      <c r="F158" s="137">
        <f>'DOE25'!J497</f>
        <v>0</v>
      </c>
      <c r="G158" s="138">
        <f t="shared" si="0"/>
        <v>960324.14999999991</v>
      </c>
    </row>
    <row r="159" spans="1:9" x14ac:dyDescent="0.2">
      <c r="A159" s="22" t="s">
        <v>35</v>
      </c>
      <c r="B159" s="137">
        <f>'DOE25'!F498</f>
        <v>216443.65</v>
      </c>
      <c r="C159" s="137">
        <f>'DOE25'!G498</f>
        <v>220000</v>
      </c>
      <c r="D159" s="137">
        <f>'DOE25'!H498</f>
        <v>4410000</v>
      </c>
      <c r="E159" s="137">
        <f>'DOE25'!I498</f>
        <v>0</v>
      </c>
      <c r="F159" s="137">
        <f>'DOE25'!J498</f>
        <v>0</v>
      </c>
      <c r="G159" s="138">
        <f t="shared" si="0"/>
        <v>4846443.6500000004</v>
      </c>
    </row>
    <row r="160" spans="1:9" x14ac:dyDescent="0.2">
      <c r="A160" s="22" t="s">
        <v>36</v>
      </c>
      <c r="B160" s="137">
        <f>'DOE25'!F499</f>
        <v>462531.35</v>
      </c>
      <c r="C160" s="137">
        <f>'DOE25'!G499</f>
        <v>6325</v>
      </c>
      <c r="D160" s="137">
        <f>'DOE25'!H499</f>
        <v>952931</v>
      </c>
      <c r="E160" s="137">
        <f>'DOE25'!I499</f>
        <v>0</v>
      </c>
      <c r="F160" s="137">
        <f>'DOE25'!J499</f>
        <v>0</v>
      </c>
      <c r="G160" s="138">
        <f t="shared" si="0"/>
        <v>1421787.35</v>
      </c>
    </row>
    <row r="161" spans="1:7" x14ac:dyDescent="0.2">
      <c r="A161" s="22" t="s">
        <v>37</v>
      </c>
      <c r="B161" s="137">
        <f>'DOE25'!F500</f>
        <v>678975</v>
      </c>
      <c r="C161" s="137">
        <f>'DOE25'!G500</f>
        <v>226325</v>
      </c>
      <c r="D161" s="137">
        <f>'DOE25'!H500</f>
        <v>5362931</v>
      </c>
      <c r="E161" s="137">
        <f>'DOE25'!I500</f>
        <v>0</v>
      </c>
      <c r="F161" s="137">
        <f>'DOE25'!J500</f>
        <v>0</v>
      </c>
      <c r="G161" s="138">
        <f t="shared" si="0"/>
        <v>6268231</v>
      </c>
    </row>
    <row r="162" spans="1:7" x14ac:dyDescent="0.2">
      <c r="A162" s="22" t="s">
        <v>38</v>
      </c>
      <c r="B162" s="137">
        <f>'DOE25'!F501</f>
        <v>216443.65</v>
      </c>
      <c r="C162" s="137">
        <f>'DOE25'!G501</f>
        <v>220000</v>
      </c>
      <c r="D162" s="137">
        <f>'DOE25'!H501</f>
        <v>400000</v>
      </c>
      <c r="E162" s="137">
        <f>'DOE25'!I501</f>
        <v>0</v>
      </c>
      <c r="F162" s="137">
        <f>'DOE25'!J501</f>
        <v>0</v>
      </c>
      <c r="G162" s="138">
        <f t="shared" si="0"/>
        <v>836443.65</v>
      </c>
    </row>
    <row r="163" spans="1:7" x14ac:dyDescent="0.2">
      <c r="A163" s="22" t="s">
        <v>39</v>
      </c>
      <c r="B163" s="137">
        <f>'DOE25'!F502</f>
        <v>462531.35</v>
      </c>
      <c r="C163" s="137">
        <f>'DOE25'!G502</f>
        <v>6325</v>
      </c>
      <c r="D163" s="137">
        <f>'DOE25'!H502</f>
        <v>190784</v>
      </c>
      <c r="E163" s="137">
        <f>'DOE25'!I502</f>
        <v>0</v>
      </c>
      <c r="F163" s="137">
        <f>'DOE25'!J502</f>
        <v>0</v>
      </c>
      <c r="G163" s="138">
        <f t="shared" si="0"/>
        <v>659640.35</v>
      </c>
    </row>
    <row r="164" spans="1:7" x14ac:dyDescent="0.2">
      <c r="A164" s="22" t="s">
        <v>246</v>
      </c>
      <c r="B164" s="137">
        <f>'DOE25'!F503</f>
        <v>678975</v>
      </c>
      <c r="C164" s="137">
        <f>'DOE25'!G503</f>
        <v>226325</v>
      </c>
      <c r="D164" s="137">
        <f>'DOE25'!H503</f>
        <v>590784</v>
      </c>
      <c r="E164" s="137">
        <f>'DOE25'!I503</f>
        <v>0</v>
      </c>
      <c r="F164" s="137">
        <f>'DOE25'!J503</f>
        <v>0</v>
      </c>
      <c r="G164" s="138">
        <f t="shared" si="0"/>
        <v>1496084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Hollis Brookline Cooperative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14591</v>
      </c>
    </row>
    <row r="6" spans="1:4" x14ac:dyDescent="0.2">
      <c r="B6" t="s">
        <v>62</v>
      </c>
      <c r="C6" s="179">
        <f>IF('DOE25'!H665+'DOE25'!H670=0,0,ROUND('DOE25'!H672,0))</f>
        <v>13630</v>
      </c>
    </row>
    <row r="7" spans="1:4" x14ac:dyDescent="0.2">
      <c r="B7" t="s">
        <v>705</v>
      </c>
      <c r="C7" s="179">
        <f>IF('DOE25'!I665+'DOE25'!I670=0,0,ROUND('DOE25'!I672,0))</f>
        <v>13955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7408050</v>
      </c>
      <c r="D10" s="182">
        <f>ROUND((C10/$C$28)*100,1)</f>
        <v>37.5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4253539</v>
      </c>
      <c r="D11" s="182">
        <f>ROUND((C11/$C$28)*100,1)</f>
        <v>21.5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44145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627144</v>
      </c>
      <c r="D13" s="182">
        <f>ROUND((C13/$C$28)*100,1)</f>
        <v>3.2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1690684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548992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784020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1226895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562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1288931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957268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842384</v>
      </c>
      <c r="D25" s="182">
        <f t="shared" si="0"/>
        <v>4.3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65495.010000000009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19738109.010000002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21644</v>
      </c>
    </row>
    <row r="30" spans="1:4" x14ac:dyDescent="0.2">
      <c r="B30" s="187" t="s">
        <v>729</v>
      </c>
      <c r="C30" s="180">
        <f>SUM(C28:C29)</f>
        <v>19759753.010000002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960324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13825076</v>
      </c>
      <c r="D35" s="182">
        <f t="shared" ref="D35:D40" si="1">ROUND((C35/$C$41)*100,1)</f>
        <v>66.5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225080.08999999985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5215224</v>
      </c>
      <c r="D37" s="182">
        <f t="shared" si="1"/>
        <v>25.1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993149</v>
      </c>
      <c r="D38" s="182">
        <f t="shared" si="1"/>
        <v>4.8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530749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20789278.09</v>
      </c>
      <c r="D41" s="184">
        <f>SUM(D35:D40)</f>
        <v>100.09999999999998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Hollis Brookline Cooperative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>
        <v>3</v>
      </c>
      <c r="B4" s="219">
        <v>24</v>
      </c>
      <c r="C4" s="288" t="s">
        <v>919</v>
      </c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848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4"/>
  <sheetViews>
    <sheetView workbookViewId="0">
      <selection activeCell="D4" sqref="D4:F14"/>
    </sheetView>
  </sheetViews>
  <sheetFormatPr defaultRowHeight="11.25" x14ac:dyDescent="0.2"/>
  <cols>
    <col min="4" max="4" width="14.5" style="275" bestFit="1" customWidth="1"/>
    <col min="5" max="5" width="11" bestFit="1" customWidth="1"/>
  </cols>
  <sheetData>
    <row r="4" spans="5:5" x14ac:dyDescent="0.2">
      <c r="E4" s="2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2016-10-06T14:55:11Z</cp:lastPrinted>
  <dcterms:created xsi:type="dcterms:W3CDTF">1997-12-04T19:04:30Z</dcterms:created>
  <dcterms:modified xsi:type="dcterms:W3CDTF">2016-11-30T16:26:24Z</dcterms:modified>
</cp:coreProperties>
</file>