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150" windowWidth="12735" windowHeight="6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110" i="1" l="1"/>
  <c r="K282" i="1" l="1"/>
  <c r="H204" i="1" l="1"/>
  <c r="F472" i="1" l="1"/>
  <c r="K521" i="1" l="1"/>
  <c r="I521" i="1"/>
  <c r="F521" i="1"/>
  <c r="H282" i="1" l="1"/>
  <c r="I277" i="1"/>
  <c r="G521" i="1" l="1"/>
  <c r="H592" i="1"/>
  <c r="H591" i="1"/>
  <c r="H208" i="1"/>
  <c r="F9" i="1" l="1"/>
  <c r="J465" i="1" l="1"/>
  <c r="F611" i="1" l="1"/>
  <c r="G97" i="1" l="1"/>
  <c r="H155" i="1"/>
  <c r="H159" i="1"/>
  <c r="G158" i="1"/>
  <c r="F368" i="1"/>
  <c r="F367" i="1"/>
  <c r="H358" i="1"/>
  <c r="F358" i="1"/>
  <c r="H203" i="1"/>
  <c r="H207" i="1"/>
  <c r="G203" i="1"/>
  <c r="I197" i="1"/>
  <c r="G198" i="1"/>
  <c r="H205" i="1" l="1"/>
  <c r="K202" i="1"/>
  <c r="H202" i="1"/>
  <c r="K198" i="1"/>
  <c r="H198" i="1"/>
  <c r="K197" i="1"/>
  <c r="H197" i="1"/>
  <c r="H22" i="1"/>
  <c r="G12" i="1"/>
  <c r="G9" i="1"/>
  <c r="F29" i="1"/>
  <c r="F1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E115" i="2" s="1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E128" i="2" s="1"/>
  <c r="C120" i="2"/>
  <c r="E120" i="2"/>
  <c r="C121" i="2"/>
  <c r="E121" i="2"/>
  <c r="C122" i="2"/>
  <c r="E122" i="2"/>
  <c r="C123" i="2"/>
  <c r="E123" i="2"/>
  <c r="C124" i="2"/>
  <c r="C128" i="2" s="1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H257" i="1" s="1"/>
  <c r="H271" i="1" s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J640" i="1" s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H660" i="1" s="1"/>
  <c r="H664" i="1" s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I661" i="1"/>
  <c r="H140" i="1"/>
  <c r="L401" i="1"/>
  <c r="C139" i="2" s="1"/>
  <c r="L393" i="1"/>
  <c r="A13" i="12"/>
  <c r="F22" i="13"/>
  <c r="C22" i="13" s="1"/>
  <c r="H25" i="13"/>
  <c r="C25" i="13" s="1"/>
  <c r="J651" i="1"/>
  <c r="J634" i="1"/>
  <c r="H571" i="1"/>
  <c r="L560" i="1"/>
  <c r="J545" i="1"/>
  <c r="H338" i="1"/>
  <c r="H352" i="1" s="1"/>
  <c r="F338" i="1"/>
  <c r="F352" i="1" s="1"/>
  <c r="G192" i="1"/>
  <c r="H192" i="1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K551" i="1"/>
  <c r="C138" i="2"/>
  <c r="C16" i="13"/>
  <c r="H33" i="13"/>
  <c r="K352" i="1" l="1"/>
  <c r="E33" i="13"/>
  <c r="D35" i="13" s="1"/>
  <c r="L545" i="1"/>
  <c r="H545" i="1"/>
  <c r="K552" i="1"/>
  <c r="J622" i="1"/>
  <c r="J649" i="1"/>
  <c r="J644" i="1"/>
  <c r="C20" i="10"/>
  <c r="C10" i="10"/>
  <c r="G257" i="1"/>
  <c r="G271" i="1" s="1"/>
  <c r="L211" i="1"/>
  <c r="L257" i="1" s="1"/>
  <c r="L271" i="1" s="1"/>
  <c r="G632" i="1" s="1"/>
  <c r="J632" i="1" s="1"/>
  <c r="J647" i="1"/>
  <c r="C81" i="2"/>
  <c r="C62" i="2"/>
  <c r="C63" i="2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C28" i="10" l="1"/>
  <c r="D24" i="10" s="1"/>
  <c r="G672" i="1"/>
  <c r="C5" i="10" s="1"/>
  <c r="G104" i="2"/>
  <c r="F660" i="1"/>
  <c r="F664" i="1" s="1"/>
  <c r="F672" i="1" s="1"/>
  <c r="C4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1" i="10"/>
  <c r="D11" i="10"/>
  <c r="D13" i="10"/>
  <c r="D27" i="10" l="1"/>
  <c r="D18" i="10"/>
  <c r="D17" i="10"/>
  <c r="D16" i="10"/>
  <c r="D19" i="10"/>
  <c r="D10" i="10"/>
  <c r="D28" i="10" s="1"/>
  <c r="D26" i="10"/>
  <c r="C30" i="10"/>
  <c r="D20" i="10"/>
  <c r="D15" i="10"/>
  <c r="D25" i="10"/>
  <c r="D22" i="10"/>
  <c r="D12" i="10"/>
  <c r="I660" i="1"/>
  <c r="I664" i="1" s="1"/>
  <c r="I672" i="1" s="1"/>
  <c r="C7" i="10" s="1"/>
  <c r="F667" i="1"/>
  <c r="H656" i="1"/>
  <c r="C41" i="10"/>
  <c r="D38" i="10" s="1"/>
  <c r="I667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<sst xmlns="http://schemas.openxmlformats.org/spreadsheetml/2006/main" count="3956" uniqueCount="914">
  <si>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</si>
  <si>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</si>
  <si>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</si>
  <si>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</si>
  <si>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</si>
  <si>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</si>
  <si>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</si>
  <si>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</si>
  <si>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</si>
  <si>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</si>
  <si>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</si>
  <si>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</si>
  <si>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</si>
  <si>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</si>
  <si>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</si>
  <si>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</si>
  <si>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</si>
  <si>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</si>
  <si>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</si>
  <si>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</si>
  <si>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</si>
  <si>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</si>
  <si>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</si>
  <si>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</si>
  <si>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</si>
  <si>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</si>
  <si>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</si>
  <si>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</si>
  <si>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</si>
  <si>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</si>
  <si>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</si>
  <si>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</si>
  <si>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</si>
  <si>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</si>
  <si>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</si>
  <si>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</si>
  <si>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</si>
  <si>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</si>
  <si>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</si>
  <si>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</si>
  <si>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</si>
  <si>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</si>
  <si>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</si>
  <si>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</si>
  <si>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</si>
  <si>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</si>
  <si>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</si>
  <si>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</si>
  <si>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</si>
  <si>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</si>
  <si>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</si>
  <si>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</si>
  <si>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</si>
  <si>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</si>
  <si>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</si>
  <si>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</si>
  <si>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</si>
  <si>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</si>
  <si>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</si>
  <si>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</si>
  <si>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</si>
  <si>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</si>
  <si>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</si>
  <si>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</si>
  <si>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</si>
  <si>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</si>
  <si>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</si>
  <si>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</si>
  <si>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</si>
  <si>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</si>
  <si>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</si>
  <si>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</si>
  <si>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</si>
  <si>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</si>
  <si>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</si>
  <si>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</si>
  <si>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</si>
  <si>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</si>
  <si>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</si>
  <si>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</si>
  <si>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</si>
  <si>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</si>
  <si>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</si>
  <si>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</si>
  <si>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</si>
  <si>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</si>
  <si>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</si>
  <si>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</si>
  <si>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</si>
  <si>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</si>
  <si>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</si>
  <si>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</si>
  <si>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</si>
  <si>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</si>
  <si>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</si>
  <si>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</si>
  <si>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</si>
  <si>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</si>
  <si>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</si>
  <si>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</si>
  <si>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</si>
  <si>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</si>
  <si>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</si>
  <si>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</si>
  <si>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</si>
  <si>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</si>
  <si>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</si>
  <si>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</si>
  <si>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</si>
  <si>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</si>
  <si>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</si>
  <si>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</si>
  <si>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</si>
  <si>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</si>
  <si>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</si>
  <si>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</si>
  <si>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</si>
  <si>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</si>
  <si>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</si>
  <si>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</si>
  <si>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</si>
  <si>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</si>
  <si>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</si>
  <si>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</si>
  <si>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</si>
  <si>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</si>
  <si>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</si>
  <si>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</si>
  <si>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</si>
  <si>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</si>
  <si>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</si>
  <si>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</si>
  <si>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</si>
  <si>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</si>
  <si>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</si>
  <si>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</si>
  <si>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</si>
  <si>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</si>
  <si>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</si>
  <si>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</si>
  <si>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</si>
  <si>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</si>
  <si>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</si>
  <si>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</si>
  <si>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</si>
  <si>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</si>
  <si>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</si>
  <si>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</si>
  <si>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</si>
  <si>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</si>
  <si>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</si>
  <si>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</si>
  <si>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</si>
  <si>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</si>
  <si>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</si>
  <si>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</si>
  <si>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</si>
  <si>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</si>
  <si>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</si>
  <si>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</si>
  <si>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</si>
  <si>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</si>
  <si>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</si>
  <si>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</si>
  <si>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</si>
  <si>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</si>
  <si>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</si>
  <si>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</si>
  <si>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</si>
  <si>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</si>
  <si>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</si>
  <si>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</si>
  <si>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</si>
  <si>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</si>
  <si>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</si>
  <si>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</si>
  <si>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</si>
  <si>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</si>
  <si>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</si>
  <si>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</si>
  <si>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</si>
  <si>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</si>
  <si>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</si>
  <si>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</si>
  <si>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</si>
  <si>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</si>
  <si>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</si>
  <si>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</si>
  <si>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</si>
  <si>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</si>
  <si>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</si>
  <si>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</si>
  <si>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</si>
  <si>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</si>
  <si>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</si>
  <si>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</si>
  <si>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</si>
  <si>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</si>
  <si>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</si>
  <si>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</si>
  <si>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</si>
  <si>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</si>
  <si>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</si>
  <si>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</si>
  <si>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</si>
  <si>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</si>
  <si>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</si>
  <si>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</si>
  <si>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</si>
  <si>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</si>
  <si>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</si>
  <si>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</si>
  <si>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</si>
  <si>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</si>
  <si>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</si>
  <si>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</si>
  <si>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</si>
  <si>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</si>
  <si>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</si>
  <si>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</si>
  <si>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</si>
  <si>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</si>
  <si>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</si>
  <si>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</si>
  <si>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</si>
  <si>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</si>
  <si>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</si>
  <si>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</si>
  <si>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</si>
  <si>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</si>
  <si>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</si>
  <si>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</si>
  <si>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</si>
  <si>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</si>
  <si>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</si>
  <si>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</si>
  <si>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</si>
  <si>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</si>
  <si>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</si>
  <si>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</si>
  <si>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</si>
  <si>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</si>
  <si>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</si>
  <si>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</si>
  <si>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</si>
  <si>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</si>
  <si>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</si>
  <si>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</si>
  <si>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</si>
  <si>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</si>
  <si>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</si>
  <si>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</si>
  <si>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</si>
  <si>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</si>
  <si>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</si>
  <si>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</si>
  <si>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</si>
  <si>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</si>
  <si>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</si>
  <si>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</si>
  <si>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</si>
  <si>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</si>
  <si>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</si>
  <si>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</si>
  <si>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</si>
  <si>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</si>
  <si>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</si>
  <si>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</si>
  <si>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</si>
  <si>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</si>
  <si>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</si>
  <si>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</si>
  <si>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</si>
  <si>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</si>
  <si>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</si>
  <si>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</si>
  <si>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</si>
  <si>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</si>
  <si>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</si>
  <si>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</si>
  <si>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</si>
  <si>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</si>
  <si>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</si>
  <si>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</si>
  <si>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</si>
  <si>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</si>
  <si>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</si>
  <si>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</si>
  <si>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</si>
  <si>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</si>
  <si>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</si>
  <si>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</si>
  <si>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</si>
  <si>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</si>
  <si>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</si>
  <si>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</si>
  <si>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</si>
  <si>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</si>
  <si>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</si>
  <si>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</si>
  <si>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</si>
  <si>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</si>
  <si>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</si>
  <si>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</si>
  <si>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</si>
  <si>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</si>
  <si>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</si>
  <si>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</si>
  <si>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</si>
  <si>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</si>
  <si>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</si>
  <si>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</si>
  <si>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</si>
  <si>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</si>
  <si>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</si>
  <si>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</si>
  <si>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</si>
  <si>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</si>
  <si>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</si>
  <si>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</si>
  <si>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</si>
  <si>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</si>
  <si>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</si>
  <si>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</si>
  <si>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</si>
  <si>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</si>
  <si>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</si>
  <si>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</si>
  <si>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</si>
  <si>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</si>
  <si>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</si>
  <si>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</si>
  <si>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</si>
  <si>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</si>
  <si>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</si>
  <si>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</si>
  <si>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</si>
  <si>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</si>
  <si>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</si>
  <si>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</si>
  <si>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</si>
  <si>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</si>
  <si>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</si>
  <si>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</si>
  <si>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</si>
  <si>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</si>
  <si>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</si>
  <si>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</si>
  <si>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</si>
  <si>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</si>
  <si>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</si>
  <si>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</si>
  <si>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</si>
  <si>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</si>
  <si>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</si>
  <si>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</si>
  <si>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</si>
  <si>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</si>
  <si>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</si>
  <si>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</si>
  <si>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</si>
  <si>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</si>
  <si>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</si>
  <si>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</si>
  <si>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</si>
  <si>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</si>
  <si>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</si>
  <si>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</si>
  <si>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</si>
  <si>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</si>
  <si>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</si>
  <si>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</si>
  <si>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</si>
  <si>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</si>
  <si>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</si>
  <si>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</si>
  <si>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</si>
  <si>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</si>
  <si>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</si>
  <si>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</si>
  <si>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</si>
  <si>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</si>
  <si>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</si>
  <si>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</si>
  <si>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</si>
  <si>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</si>
  <si>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</si>
  <si>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</si>
  <si>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</si>
  <si>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</si>
  <si>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</si>
  <si>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</si>
  <si>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</si>
  <si>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</si>
  <si>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</si>
  <si>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</si>
  <si>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</si>
  <si>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</si>
  <si>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</si>
  <si>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</si>
  <si>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</si>
  <si>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</si>
  <si>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</si>
  <si>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</si>
  <si>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</si>
  <si>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</si>
  <si>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</si>
  <si>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</si>
  <si>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</si>
  <si>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</si>
  <si>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</si>
  <si>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</si>
  <si>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</si>
  <si>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</si>
  <si>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</si>
  <si>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</si>
  <si>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</si>
  <si>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</si>
  <si>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</si>
  <si>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</si>
  <si>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</si>
  <si>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</si>
  <si>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</si>
  <si>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</si>
  <si>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</si>
  <si>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</si>
  <si>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</si>
  <si>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</si>
  <si>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</si>
  <si>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</si>
  <si>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</si>
  <si>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</si>
  <si>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</si>
  <si>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</si>
  <si>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</si>
  <si>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</si>
  <si>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</si>
  <si>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</si>
  <si>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</si>
  <si>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</si>
  <si>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</si>
  <si>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</si>
  <si>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</si>
  <si>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</si>
  <si>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</si>
  <si>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</si>
  <si>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</si>
  <si>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</si>
  <si>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</si>
  <si>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</si>
  <si>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</si>
  <si>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</si>
  <si>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</si>
  <si>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</si>
  <si>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</si>
  <si>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</si>
  <si>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</si>
  <si>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</si>
  <si>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</si>
  <si>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</si>
  <si>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</si>
  <si>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</si>
  <si>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</si>
  <si>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</si>
  <si>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</si>
  <si>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</si>
  <si>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</si>
  <si>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</si>
  <si>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</si>
  <si>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</si>
  <si>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</si>
  <si>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</si>
  <si>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</si>
  <si>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</si>
  <si>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</si>
  <si>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</si>
  <si>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</si>
  <si>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</si>
  <si>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</si>
  <si>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</si>
  <si>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</si>
  <si>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</si>
  <si>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</si>
  <si>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</si>
  <si>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</si>
  <si>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</si>
  <si>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</si>
  <si>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</si>
  <si>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</si>
  <si>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</si>
  <si>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</si>
  <si>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</si>
  <si>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</si>
  <si>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</si>
  <si>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</si>
  <si>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</si>
  <si>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</si>
  <si>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</si>
  <si>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</si>
  <si>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</si>
  <si>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</si>
  <si>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</si>
  <si>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</si>
  <si>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</si>
  <si>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</si>
  <si>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</si>
  <si>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</si>
  <si>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</si>
  <si>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</si>
  <si>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</si>
  <si>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</si>
  <si>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</si>
  <si>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</si>
  <si>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</si>
  <si>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</si>
  <si>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</si>
  <si>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</si>
  <si>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</si>
  <si>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</si>
  <si>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</si>
  <si>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</si>
  <si>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</si>
  <si>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</si>
  <si>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</si>
  <si>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</si>
  <si>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</si>
  <si>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</si>
  <si>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</si>
  <si>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</si>
  <si>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</si>
  <si>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</si>
  <si>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</si>
  <si>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</si>
  <si>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</si>
  <si>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</si>
  <si>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</si>
  <si>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</si>
  <si>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</si>
  <si>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</si>
  <si>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</si>
  <si>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</si>
  <si>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</si>
  <si>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</si>
  <si>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</si>
  <si>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</si>
  <si>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</si>
  <si>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</si>
  <si>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</si>
  <si>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</si>
  <si>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</si>
  <si>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</si>
  <si>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</si>
  <si>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</si>
  <si>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</si>
  <si>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</si>
  <si>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</si>
  <si>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</si>
  <si>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</si>
  <si>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</si>
  <si>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</si>
  <si>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</si>
  <si>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</si>
  <si>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</si>
  <si>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</si>
  <si>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</si>
  <si>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</si>
  <si>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</si>
  <si>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</si>
  <si>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</si>
  <si>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</si>
  <si>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</si>
  <si>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</si>
  <si>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</si>
  <si>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</si>
  <si>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</si>
  <si>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</si>
  <si>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</si>
  <si>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</si>
  <si>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</si>
  <si>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</si>
  <si>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</si>
  <si>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</si>
  <si>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</si>
  <si>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</si>
  <si>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</si>
  <si>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</si>
  <si>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</si>
  <si>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</si>
  <si>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</si>
  <si>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</si>
  <si>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</si>
  <si>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</si>
  <si>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</si>
  <si>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</si>
  <si>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</si>
  <si>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</si>
  <si>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</si>
  <si>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</si>
  <si>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</si>
  <si>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</si>
  <si>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</si>
  <si>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</si>
  <si>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</si>
  <si>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</si>
  <si>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</si>
  <si>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</si>
  <si>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</si>
  <si>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</si>
  <si>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</si>
  <si>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</si>
  <si>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</si>
  <si>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</si>
  <si>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</si>
  <si>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</si>
  <si>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</si>
  <si>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</si>
  <si>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</si>
  <si>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</si>
  <si>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</si>
  <si>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</si>
  <si>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</si>
  <si>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</si>
  <si>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</si>
  <si>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</si>
  <si>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</si>
  <si>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</si>
  <si>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</si>
  <si>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</si>
  <si>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</si>
  <si>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</si>
  <si>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</si>
  <si>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</si>
  <si>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</si>
  <si>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</si>
  <si>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</si>
  <si>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</si>
  <si>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</si>
  <si>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</si>
  <si>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</si>
  <si>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</si>
  <si>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</si>
  <si>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</si>
  <si>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</si>
  <si>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</si>
  <si>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</si>
  <si>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</si>
  <si>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</si>
  <si>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</si>
  <si>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</si>
  <si>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</si>
  <si>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</si>
  <si>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</si>
  <si>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</si>
  <si>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</si>
  <si>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</si>
  <si>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</si>
  <si>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</si>
  <si>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</si>
  <si>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</si>
  <si>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</si>
  <si>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</si>
  <si>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</si>
  <si>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</si>
  <si>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</si>
  <si>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</si>
  <si>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</si>
  <si>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</si>
  <si>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</si>
  <si>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</si>
  <si>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</si>
  <si>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</si>
  <si>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</si>
  <si>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</si>
  <si>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</si>
  <si>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</si>
  <si>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</si>
  <si>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</si>
  <si>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</si>
  <si>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</si>
  <si>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</si>
  <si>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</si>
  <si>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</si>
  <si>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</si>
  <si>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</si>
  <si>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</si>
  <si>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</si>
  <si>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</si>
  <si>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</si>
  <si>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</si>
  <si>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</si>
  <si>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</si>
  <si>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</si>
  <si>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</si>
  <si>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</si>
  <si>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</si>
  <si>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</si>
  <si>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</si>
  <si>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</si>
  <si>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</si>
  <si>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</si>
  <si>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</si>
  <si>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</si>
  <si>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</si>
  <si>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</si>
  <si>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</si>
  <si>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</si>
  <si>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</si>
  <si>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</si>
  <si>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</si>
  <si>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</si>
  <si>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</si>
  <si>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</si>
  <si>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</si>
  <si>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</si>
  <si>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</si>
  <si>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</si>
  <si>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</si>
  <si>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</si>
  <si>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</si>
  <si>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</si>
  <si>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</si>
  <si>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</si>
  <si>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</si>
  <si>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</si>
  <si>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</si>
  <si>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</si>
  <si>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</si>
  <si>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</si>
  <si>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</si>
  <si>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</si>
  <si>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</si>
  <si>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</si>
  <si>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</si>
  <si>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</si>
  <si>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</si>
  <si>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</si>
  <si>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</si>
  <si>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</si>
  <si>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</si>
  <si>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</si>
  <si>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</si>
  <si>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</si>
  <si>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</si>
  <si>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</si>
  <si>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</si>
  <si>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</si>
  <si>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</si>
  <si>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</si>
  <si>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</si>
  <si>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</si>
  <si>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</si>
  <si>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</si>
  <si>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</si>
  <si>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</si>
  <si>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</si>
  <si>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</si>
  <si>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</si>
  <si>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</si>
  <si>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</si>
  <si>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</si>
  <si>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</si>
  <si>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</si>
  <si>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</si>
  <si>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</si>
  <si>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</si>
  <si>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</si>
  <si>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</si>
  <si>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</si>
  <si>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</si>
  <si>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</si>
  <si>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</si>
  <si>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</si>
  <si>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</si>
  <si>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</si>
  <si>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</si>
  <si>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</si>
  <si>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</si>
  <si>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</si>
  <si>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</si>
  <si>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</si>
  <si>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</si>
  <si>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</si>
  <si>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</si>
  <si>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</si>
  <si>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</si>
  <si>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</si>
  <si>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</si>
  <si>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</si>
  <si>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</si>
  <si>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</si>
  <si>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</si>
  <si>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</si>
  <si>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</si>
  <si>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</si>
  <si>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</si>
  <si>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</si>
  <si>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</si>
  <si>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</si>
  <si>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</si>
  <si>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</si>
  <si>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</si>
  <si>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</si>
  <si>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</si>
  <si>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</si>
  <si>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</si>
  <si>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</si>
  <si>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</si>
  <si>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</si>
  <si>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</si>
  <si>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</si>
  <si>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</si>
  <si>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</si>
  <si>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</si>
  <si>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</si>
  <si>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</si>
  <si>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</si>
  <si>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</si>
  <si>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</si>
  <si>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</si>
  <si>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</si>
  <si>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</si>
  <si>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</si>
  <si>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</si>
  <si>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</si>
  <si>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</si>
  <si>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</si>
  <si>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</si>
  <si>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</si>
  <si>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</si>
  <si>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</si>
  <si>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</si>
  <si>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</si>
  <si>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</si>
  <si>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</si>
  <si>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</si>
  <si>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</si>
  <si>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</si>
  <si>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</si>
  <si>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</si>
  <si>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</si>
  <si>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</si>
  <si>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</si>
  <si>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</si>
  <si>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</si>
  <si>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</si>
  <si>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</si>
  <si>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</si>
  <si>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</si>
  <si>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</si>
  <si>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</si>
  <si>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</si>
  <si>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</si>
  <si>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</si>
  <si>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</si>
  <si>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</si>
  <si>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</si>
  <si>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</si>
  <si>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</si>
  <si>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</si>
  <si>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</si>
  <si>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</si>
  <si>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</si>
  <si>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</si>
  <si>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</si>
  <si>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</si>
  <si>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</si>
  <si>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</si>
  <si>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</si>
  <si>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</si>
  <si>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</si>
  <si>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</si>
  <si>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</si>
  <si>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</si>
  <si>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</si>
  <si>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</si>
  <si>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</si>
  <si>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</si>
  <si>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</si>
  <si>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</si>
  <si>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</si>
  <si>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</si>
  <si>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</si>
  <si>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</si>
  <si>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</si>
  <si>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</si>
  <si>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</si>
  <si>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</si>
  <si>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</si>
  <si>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</si>
  <si>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</si>
  <si>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</si>
  <si>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</si>
  <si>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</si>
  <si>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</si>
  <si>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</si>
  <si>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</si>
  <si>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</si>
  <si>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</si>
  <si>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</si>
  <si>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</si>
  <si>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</si>
  <si>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</si>
  <si>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</si>
  <si>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</si>
  <si>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</si>
  <si>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</si>
  <si>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</si>
  <si>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</si>
  <si>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</si>
  <si>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</si>
  <si>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</si>
  <si>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</si>
  <si>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HOLLIS</t>
  </si>
  <si>
    <t>LGC Contribution Return $65,595.98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</si>
</sst>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14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259</v>
      </c>
      <c r="C2" s="21">
        <v>259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492488.38+87299+450</f>
        <v>580237.38</v>
      </c>
      <c r="G9" s="18">
        <f>12573.59+48</f>
        <v>12621.59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470.23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875890.37</v>
      </c>
      <c r="G12" s="18">
        <f>458823.11-437178.15</f>
        <v>21644.959999999963</v>
      </c>
      <c r="H12" s="18"/>
      <c r="I12" s="18"/>
      <c r="J12" s="67">
        <f>SUM(I441)</f>
        <v>155365.37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4261.25</v>
      </c>
      <c r="G13" s="18">
        <v>1444.99</v>
      </c>
      <c r="H13" s="18">
        <v>156991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7867.21</f>
        <v>7867.21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6236.34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7008.94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-858.65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1474876.73</v>
      </c>
      <c r="G19" s="41">
        <f>SUM(G9:G18)</f>
        <v>41947.879999999961</v>
      </c>
      <c r="H19" s="41">
        <f>SUM(H9:H18)</f>
        <v>156991</v>
      </c>
      <c r="I19" s="41">
        <f>SUM(I9:I18)</f>
        <v>0</v>
      </c>
      <c r="J19" s="41">
        <f>SUM(J9:J18)</f>
        <v>155365.37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656491.09</v>
      </c>
      <c r="G22" s="18"/>
      <c r="H22" s="18">
        <f>156991-1703</f>
        <v>155288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5226.8500000000004</v>
      </c>
      <c r="G23" s="18">
        <v>726.3</v>
      </c>
      <c r="H23" s="18">
        <v>1703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37935.06</v>
      </c>
      <c r="G24" s="18">
        <v>151.52000000000001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79389.89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6024.78+8683.85</f>
        <v>14708.630000000001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720</v>
      </c>
      <c r="G30" s="18">
        <v>13478.72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794471.52</v>
      </c>
      <c r="G32" s="41">
        <f>SUM(G22:G31)</f>
        <v>14356.539999999999</v>
      </c>
      <c r="H32" s="41">
        <f>SUM(H22:H31)</f>
        <v>156991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6236.34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7008.94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18825</v>
      </c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158000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151787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/>
      <c r="H48" s="18"/>
      <c r="I48" s="18"/>
      <c r="J48" s="13">
        <f>SUM(I459)</f>
        <v>155365.37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85008.8</v>
      </c>
      <c r="G49" s="18">
        <v>2530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175624.94+254762.53-151787</f>
        <v>278600.46999999997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680405.21</v>
      </c>
      <c r="G51" s="41">
        <f>SUM(G35:G50)</f>
        <v>27591.34</v>
      </c>
      <c r="H51" s="41">
        <f>SUM(H35:H50)</f>
        <v>0</v>
      </c>
      <c r="I51" s="41">
        <f>SUM(I35:I50)</f>
        <v>0</v>
      </c>
      <c r="J51" s="41">
        <f>SUM(J35:J50)</f>
        <v>155365.37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1474876.73</v>
      </c>
      <c r="G52" s="41">
        <f>G51+G32</f>
        <v>41947.88</v>
      </c>
      <c r="H52" s="41">
        <f>H51+H32</f>
        <v>156991</v>
      </c>
      <c r="I52" s="41">
        <f>I51+I32</f>
        <v>0</v>
      </c>
      <c r="J52" s="41">
        <f>J51+J32</f>
        <v>155365.37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7756060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7756060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22800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22800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697.97</v>
      </c>
      <c r="G96" s="18"/>
      <c r="H96" s="18"/>
      <c r="I96" s="18"/>
      <c r="J96" s="18">
        <v>104.42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71362.75+100491.43-0.15</f>
        <v>171854.03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8000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65595.98+1918.78+167.57</f>
        <v>67682.33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76380.3</v>
      </c>
      <c r="G111" s="41">
        <f>SUM(G96:G110)</f>
        <v>171854.03</v>
      </c>
      <c r="H111" s="41">
        <f>SUM(H96:H110)</f>
        <v>0</v>
      </c>
      <c r="I111" s="41">
        <f>SUM(I96:I110)</f>
        <v>0</v>
      </c>
      <c r="J111" s="41">
        <f>SUM(J96:J110)</f>
        <v>104.42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7855240.2999999998</v>
      </c>
      <c r="G112" s="41">
        <f>G60+G111</f>
        <v>171854.03</v>
      </c>
      <c r="H112" s="41">
        <f>H60+H79+H94+H111</f>
        <v>0</v>
      </c>
      <c r="I112" s="41">
        <f>I60+I111</f>
        <v>0</v>
      </c>
      <c r="J112" s="41">
        <f>J60+J111</f>
        <v>104.42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932187.19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1389432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2321619.19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93212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2607.23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93212</v>
      </c>
      <c r="G136" s="41">
        <f>SUM(G123:G135)</f>
        <v>2607.23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2414831.19</v>
      </c>
      <c r="G140" s="41">
        <f>G121+SUM(G136:G137)</f>
        <v>2607.23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>
        <v>10739</v>
      </c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10739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24047.79+229.12+8080.75</f>
        <v>32357.66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10693.75+10837.77</f>
        <v>21531.52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3508.99+129205.1</f>
        <v>132714.09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14831.57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14831.57</v>
      </c>
      <c r="G162" s="41">
        <f>SUM(G150:G161)</f>
        <v>21531.52</v>
      </c>
      <c r="H162" s="41">
        <f>SUM(H150:H161)</f>
        <v>165071.75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14831.57</v>
      </c>
      <c r="G169" s="41">
        <f>G147+G162+SUM(G163:G168)</f>
        <v>32270.52</v>
      </c>
      <c r="H169" s="41">
        <f>H147+H162+SUM(H163:H168)</f>
        <v>165071.75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10284903.060000001</v>
      </c>
      <c r="G193" s="47">
        <f>G112+G140+G169+G192</f>
        <v>206731.78</v>
      </c>
      <c r="H193" s="47">
        <f>H112+H140+H169+H192</f>
        <v>165071.75</v>
      </c>
      <c r="I193" s="47">
        <f>I112+I140+I169+I192</f>
        <v>0</v>
      </c>
      <c r="J193" s="47">
        <f>J112+J140+J192</f>
        <v>20104.419999999998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3388871.27</v>
      </c>
      <c r="G197" s="18">
        <v>1268570.8700000001</v>
      </c>
      <c r="H197" s="18">
        <f>10000+838</f>
        <v>10838</v>
      </c>
      <c r="I197" s="18">
        <f>95562.2+10474.45</f>
        <v>106036.65</v>
      </c>
      <c r="J197" s="18">
        <v>8554.09</v>
      </c>
      <c r="K197" s="18">
        <f>1098.7</f>
        <v>1098.7</v>
      </c>
      <c r="L197" s="19">
        <f>SUM(F197:K197)</f>
        <v>4783969.580000001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964021.62</v>
      </c>
      <c r="G198" s="18">
        <f>3150+360866.39</f>
        <v>364016.39</v>
      </c>
      <c r="H198" s="18">
        <f>939.75+115532.66</f>
        <v>116472.41</v>
      </c>
      <c r="I198" s="18">
        <v>16849.02</v>
      </c>
      <c r="J198" s="18">
        <v>4406.51</v>
      </c>
      <c r="K198" s="18">
        <f>655</f>
        <v>655</v>
      </c>
      <c r="L198" s="19">
        <f>SUM(F198:K198)</f>
        <v>1466420.95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580182.32999999996</v>
      </c>
      <c r="G202" s="18">
        <v>217182.17</v>
      </c>
      <c r="H202" s="18">
        <f>92086.97+2606.32</f>
        <v>94693.290000000008</v>
      </c>
      <c r="I202" s="18">
        <v>19336.45</v>
      </c>
      <c r="J202" s="18">
        <v>604.38</v>
      </c>
      <c r="K202" s="18">
        <f>195</f>
        <v>195</v>
      </c>
      <c r="L202" s="19">
        <f t="shared" ref="L202:L208" si="0">SUM(F202:K202)</f>
        <v>912193.62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228216.32000000001</v>
      </c>
      <c r="G203" s="18">
        <f>44612.35+85429.2+130</f>
        <v>130171.54999999999</v>
      </c>
      <c r="H203" s="18">
        <f>118.61+34.62</f>
        <v>153.22999999999999</v>
      </c>
      <c r="I203" s="18">
        <v>14000.81</v>
      </c>
      <c r="J203" s="18">
        <v>26699.53</v>
      </c>
      <c r="K203" s="18"/>
      <c r="L203" s="19">
        <f t="shared" si="0"/>
        <v>399241.43999999994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f>428623.19+82.81+3055.5</f>
        <v>431761.5</v>
      </c>
      <c r="I204" s="18">
        <v>260</v>
      </c>
      <c r="J204" s="18"/>
      <c r="K204" s="18">
        <v>4644.16</v>
      </c>
      <c r="L204" s="19">
        <f t="shared" si="0"/>
        <v>436665.66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433975.99</v>
      </c>
      <c r="G205" s="18">
        <v>162452.10999999999</v>
      </c>
      <c r="H205" s="18">
        <f>6000+27229.44+26139.45</f>
        <v>59368.89</v>
      </c>
      <c r="I205" s="18">
        <v>61090.11</v>
      </c>
      <c r="J205" s="18">
        <v>313.22000000000003</v>
      </c>
      <c r="K205" s="18">
        <v>1530</v>
      </c>
      <c r="L205" s="19">
        <f t="shared" si="0"/>
        <v>718730.32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858.65</v>
      </c>
      <c r="L206" s="19">
        <f t="shared" si="0"/>
        <v>858.65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313991.3</v>
      </c>
      <c r="G207" s="18">
        <v>117537.72</v>
      </c>
      <c r="H207" s="18">
        <f>245594.59+31494.83+13284.68</f>
        <v>290374.09999999998</v>
      </c>
      <c r="I207" s="18">
        <v>219361.27</v>
      </c>
      <c r="J207" s="18">
        <v>6361.39</v>
      </c>
      <c r="K207" s="18"/>
      <c r="L207" s="19">
        <f t="shared" si="0"/>
        <v>947625.78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58.25+944.79+122545.52+122545.53+3403.88+1649.1+22649.66+5900.24+13475.7+2535</f>
        <v>295707.67</v>
      </c>
      <c r="I208" s="18">
        <v>41226.86</v>
      </c>
      <c r="J208" s="18"/>
      <c r="K208" s="18"/>
      <c r="L208" s="19">
        <f t="shared" si="0"/>
        <v>336934.52999999997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5909258.8300000001</v>
      </c>
      <c r="G211" s="41">
        <f t="shared" si="1"/>
        <v>2259930.8100000005</v>
      </c>
      <c r="H211" s="41">
        <f t="shared" si="1"/>
        <v>1299369.0900000001</v>
      </c>
      <c r="I211" s="41">
        <f t="shared" si="1"/>
        <v>478161.16999999993</v>
      </c>
      <c r="J211" s="41">
        <f t="shared" si="1"/>
        <v>46939.119999999995</v>
      </c>
      <c r="K211" s="41">
        <f t="shared" si="1"/>
        <v>8981.51</v>
      </c>
      <c r="L211" s="41">
        <f t="shared" si="1"/>
        <v>10002640.530000001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7500</v>
      </c>
      <c r="I255" s="18"/>
      <c r="J255" s="18"/>
      <c r="K255" s="18"/>
      <c r="L255" s="19">
        <f t="shared" si="6"/>
        <v>7500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7500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7500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5909258.8300000001</v>
      </c>
      <c r="G257" s="41">
        <f t="shared" si="8"/>
        <v>2259930.8100000005</v>
      </c>
      <c r="H257" s="41">
        <f t="shared" si="8"/>
        <v>1306869.0900000001</v>
      </c>
      <c r="I257" s="41">
        <f t="shared" si="8"/>
        <v>478161.16999999993</v>
      </c>
      <c r="J257" s="41">
        <f t="shared" si="8"/>
        <v>46939.119999999995</v>
      </c>
      <c r="K257" s="41">
        <f t="shared" si="8"/>
        <v>8981.51</v>
      </c>
      <c r="L257" s="41">
        <f t="shared" si="8"/>
        <v>10010140.530000001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5909258.8300000001</v>
      </c>
      <c r="G271" s="42">
        <f t="shared" si="11"/>
        <v>2259930.8100000005</v>
      </c>
      <c r="H271" s="42">
        <f t="shared" si="11"/>
        <v>1306869.0900000001</v>
      </c>
      <c r="I271" s="42">
        <f t="shared" si="11"/>
        <v>478161.16999999993</v>
      </c>
      <c r="J271" s="42">
        <f t="shared" si="11"/>
        <v>46939.119999999995</v>
      </c>
      <c r="K271" s="42">
        <f t="shared" si="11"/>
        <v>28981.510000000002</v>
      </c>
      <c r="L271" s="42">
        <f t="shared" si="11"/>
        <v>10030140.530000001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>
        <v>17696.66</v>
      </c>
      <c r="K276" s="18"/>
      <c r="L276" s="19">
        <f>SUM(F276:K276)</f>
        <v>17696.66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127547.1</v>
      </c>
      <c r="G277" s="18">
        <v>0</v>
      </c>
      <c r="H277" s="18">
        <v>0</v>
      </c>
      <c r="I277" s="18">
        <f>3463.99</f>
        <v>3463.99</v>
      </c>
      <c r="J277" s="18">
        <v>0</v>
      </c>
      <c r="K277" s="18"/>
      <c r="L277" s="19">
        <f>SUM(F277:K277)</f>
        <v>131011.09000000001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6351.13</v>
      </c>
      <c r="H282" s="18">
        <f>100+2450+3630.75+100+2000</f>
        <v>8280.75</v>
      </c>
      <c r="I282" s="18">
        <v>29.12</v>
      </c>
      <c r="J282" s="18"/>
      <c r="K282" s="18">
        <f>45+1658</f>
        <v>1703</v>
      </c>
      <c r="L282" s="19">
        <f t="shared" si="12"/>
        <v>16364.000000000002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127547.1</v>
      </c>
      <c r="G290" s="42">
        <f t="shared" si="13"/>
        <v>6351.13</v>
      </c>
      <c r="H290" s="42">
        <f t="shared" si="13"/>
        <v>8280.75</v>
      </c>
      <c r="I290" s="42">
        <f t="shared" si="13"/>
        <v>3493.1099999999997</v>
      </c>
      <c r="J290" s="42">
        <f t="shared" si="13"/>
        <v>17696.66</v>
      </c>
      <c r="K290" s="42">
        <f t="shared" si="13"/>
        <v>1703</v>
      </c>
      <c r="L290" s="41">
        <f t="shared" si="13"/>
        <v>165071.75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127547.1</v>
      </c>
      <c r="G338" s="41">
        <f t="shared" si="20"/>
        <v>6351.13</v>
      </c>
      <c r="H338" s="41">
        <f t="shared" si="20"/>
        <v>8280.75</v>
      </c>
      <c r="I338" s="41">
        <f t="shared" si="20"/>
        <v>3493.1099999999997</v>
      </c>
      <c r="J338" s="41">
        <f t="shared" si="20"/>
        <v>17696.66</v>
      </c>
      <c r="K338" s="41">
        <f t="shared" si="20"/>
        <v>1703</v>
      </c>
      <c r="L338" s="41">
        <f t="shared" si="20"/>
        <v>165071.75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127547.1</v>
      </c>
      <c r="G352" s="41">
        <f>G338</f>
        <v>6351.13</v>
      </c>
      <c r="H352" s="41">
        <f>H338</f>
        <v>8280.75</v>
      </c>
      <c r="I352" s="41">
        <f>I338</f>
        <v>3493.1099999999997</v>
      </c>
      <c r="J352" s="41">
        <f>J338</f>
        <v>17696.66</v>
      </c>
      <c r="K352" s="47">
        <f>K338+K351</f>
        <v>1703</v>
      </c>
      <c r="L352" s="41">
        <f>L338+L351</f>
        <v>165071.75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11592.3+47315.8+46834.44</f>
        <v>105742.54000000001</v>
      </c>
      <c r="G358" s="18">
        <v>135</v>
      </c>
      <c r="H358" s="18">
        <f>952.12+1748.5</f>
        <v>2700.62</v>
      </c>
      <c r="I358" s="18">
        <v>97639.86</v>
      </c>
      <c r="J358" s="18"/>
      <c r="K358" s="18"/>
      <c r="L358" s="13">
        <f>SUM(F358:K358)</f>
        <v>206218.02000000002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105742.54000000001</v>
      </c>
      <c r="G362" s="47">
        <f t="shared" si="22"/>
        <v>135</v>
      </c>
      <c r="H362" s="47">
        <f t="shared" si="22"/>
        <v>2700.62</v>
      </c>
      <c r="I362" s="47">
        <f t="shared" si="22"/>
        <v>97639.86</v>
      </c>
      <c r="J362" s="47">
        <f t="shared" si="22"/>
        <v>0</v>
      </c>
      <c r="K362" s="47">
        <f t="shared" si="22"/>
        <v>0</v>
      </c>
      <c r="L362" s="47">
        <f t="shared" si="22"/>
        <v>206218.02000000002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41061.52+47248.8</f>
        <v>88310.32</v>
      </c>
      <c r="G367" s="18"/>
      <c r="H367" s="18"/>
      <c r="I367" s="56">
        <f>SUM(F367:H367)</f>
        <v>88310.32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509+3136.14+3964.36+914.99+78.75+726.3</f>
        <v>9329.5399999999991</v>
      </c>
      <c r="G368" s="63"/>
      <c r="H368" s="63"/>
      <c r="I368" s="56">
        <f>SUM(F368:H368)</f>
        <v>9329.5399999999991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97639.86</v>
      </c>
      <c r="G369" s="47">
        <f>SUM(G367:G368)</f>
        <v>0</v>
      </c>
      <c r="H369" s="47">
        <f>SUM(H367:H368)</f>
        <v>0</v>
      </c>
      <c r="I369" s="47">
        <f>SUM(I367:I368)</f>
        <v>97639.86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20000</v>
      </c>
      <c r="H392" s="18">
        <v>104.42</v>
      </c>
      <c r="I392" s="18"/>
      <c r="J392" s="24" t="s">
        <v>289</v>
      </c>
      <c r="K392" s="24" t="s">
        <v>289</v>
      </c>
      <c r="L392" s="56">
        <f t="shared" si="25"/>
        <v>20104.419999999998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20000</v>
      </c>
      <c r="H393" s="139">
        <f>SUM(H387:H392)</f>
        <v>104.42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20104.419999999998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104.42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20104.419999999998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92247.65</v>
      </c>
      <c r="I422" s="18"/>
      <c r="J422" s="18"/>
      <c r="K422" s="18"/>
      <c r="L422" s="56">
        <f t="shared" si="29"/>
        <v>92247.65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92247.65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92247.65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92247.65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92247.65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155365.37</v>
      </c>
      <c r="H441" s="18"/>
      <c r="I441" s="56">
        <f t="shared" si="33"/>
        <v>155365.37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155365.37</v>
      </c>
      <c r="H446" s="13">
        <f>SUM(H439:H445)</f>
        <v>0</v>
      </c>
      <c r="I446" s="13">
        <f>SUM(I439:I445)</f>
        <v>155365.37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155365.37</v>
      </c>
      <c r="H459" s="18"/>
      <c r="I459" s="56">
        <f t="shared" si="34"/>
        <v>155365.37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155365.37</v>
      </c>
      <c r="H460" s="83">
        <f>SUM(H454:H459)</f>
        <v>0</v>
      </c>
      <c r="I460" s="83">
        <f>SUM(I454:I459)</f>
        <v>155365.37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155365.37</v>
      </c>
      <c r="H461" s="42">
        <f>H452+H460</f>
        <v>0</v>
      </c>
      <c r="I461" s="42">
        <f>I452+I460</f>
        <v>155365.37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44">
        <v>425642.68</v>
      </c>
      <c r="G465" s="144">
        <v>27077.58</v>
      </c>
      <c r="H465" s="144">
        <v>0</v>
      </c>
      <c r="I465" s="144">
        <v>0</v>
      </c>
      <c r="J465" s="144">
        <f>209925.91+17582.69</f>
        <v>227508.6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10284903.060000001</v>
      </c>
      <c r="G468" s="18">
        <v>206731.78</v>
      </c>
      <c r="H468" s="18">
        <v>165071.75</v>
      </c>
      <c r="I468" s="18"/>
      <c r="J468" s="18">
        <v>20104.419999999998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10284903.060000001</v>
      </c>
      <c r="G470" s="53">
        <f>SUM(G468:G469)</f>
        <v>206731.78</v>
      </c>
      <c r="H470" s="53">
        <f>SUM(H468:H469)</f>
        <v>165071.75</v>
      </c>
      <c r="I470" s="53">
        <f>SUM(I468:I469)</f>
        <v>0</v>
      </c>
      <c r="J470" s="53">
        <f>SUM(J468:J469)</f>
        <v>20104.419999999998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10003716.4+26424.13</f>
        <v>10030140.530000001</v>
      </c>
      <c r="G472" s="18">
        <v>206218.02</v>
      </c>
      <c r="H472" s="18">
        <v>165071.75</v>
      </c>
      <c r="I472" s="18"/>
      <c r="J472" s="18">
        <v>92247.65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10030140.530000001</v>
      </c>
      <c r="G474" s="53">
        <f>SUM(G472:G473)</f>
        <v>206218.02</v>
      </c>
      <c r="H474" s="53">
        <f>SUM(H472:H473)</f>
        <v>165071.75</v>
      </c>
      <c r="I474" s="53">
        <f>SUM(I472:I473)</f>
        <v>0</v>
      </c>
      <c r="J474" s="53">
        <f>SUM(J472:J473)</f>
        <v>92247.65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680405.20999999903</v>
      </c>
      <c r="G476" s="53">
        <f>(G465+G470)- G474</f>
        <v>27591.339999999997</v>
      </c>
      <c r="H476" s="53">
        <f>(H465+H470)- H474</f>
        <v>0</v>
      </c>
      <c r="I476" s="53">
        <f>(I465+I470)- I474</f>
        <v>0</v>
      </c>
      <c r="J476" s="53">
        <f>(J465+J470)- J474</f>
        <v>155365.37000000002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127547.1+870709.26</f>
        <v>998256.36</v>
      </c>
      <c r="G521" s="18">
        <f>3150+120690.22+230866.6</f>
        <v>354706.82</v>
      </c>
      <c r="H521" s="18">
        <v>122106.83</v>
      </c>
      <c r="I521" s="18">
        <f>17267.01+3463.99</f>
        <v>20731</v>
      </c>
      <c r="J521" s="18">
        <v>4337.63</v>
      </c>
      <c r="K521" s="18">
        <f>655+45+1658</f>
        <v>2358</v>
      </c>
      <c r="L521" s="88">
        <f>SUM(F521:K521)</f>
        <v>1502496.64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998256.36</v>
      </c>
      <c r="G524" s="108">
        <f t="shared" ref="G524:L524" si="36">SUM(G521:G523)</f>
        <v>354706.82</v>
      </c>
      <c r="H524" s="108">
        <f t="shared" si="36"/>
        <v>122106.83</v>
      </c>
      <c r="I524" s="108">
        <f t="shared" si="36"/>
        <v>20731</v>
      </c>
      <c r="J524" s="108">
        <f t="shared" si="36"/>
        <v>4337.63</v>
      </c>
      <c r="K524" s="108">
        <f t="shared" si="36"/>
        <v>2358</v>
      </c>
      <c r="L524" s="89">
        <f t="shared" si="36"/>
        <v>1502496.64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301813.93</v>
      </c>
      <c r="G526" s="18">
        <v>99598.6</v>
      </c>
      <c r="H526" s="18">
        <v>85738.17</v>
      </c>
      <c r="I526" s="18">
        <v>9380.94</v>
      </c>
      <c r="J526" s="18"/>
      <c r="K526" s="18"/>
      <c r="L526" s="88">
        <f>SUM(F526:K526)</f>
        <v>496531.64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301813.93</v>
      </c>
      <c r="G529" s="89">
        <f t="shared" ref="G529:L529" si="37">SUM(G526:G528)</f>
        <v>99598.6</v>
      </c>
      <c r="H529" s="89">
        <f t="shared" si="37"/>
        <v>85738.17</v>
      </c>
      <c r="I529" s="89">
        <f t="shared" si="37"/>
        <v>9380.94</v>
      </c>
      <c r="J529" s="89">
        <f t="shared" si="37"/>
        <v>0</v>
      </c>
      <c r="K529" s="89">
        <f t="shared" si="37"/>
        <v>0</v>
      </c>
      <c r="L529" s="89">
        <f t="shared" si="37"/>
        <v>496531.64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55440</v>
      </c>
      <c r="G531" s="18">
        <v>18810.7</v>
      </c>
      <c r="H531" s="18"/>
      <c r="I531" s="18"/>
      <c r="J531" s="18"/>
      <c r="K531" s="18"/>
      <c r="L531" s="88">
        <f>SUM(F531:K531)</f>
        <v>74250.7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55440</v>
      </c>
      <c r="G534" s="89">
        <f t="shared" ref="G534:L534" si="38">SUM(G531:G533)</f>
        <v>18810.7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74250.7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365.78</v>
      </c>
      <c r="I536" s="18"/>
      <c r="J536" s="18"/>
      <c r="K536" s="18"/>
      <c r="L536" s="88">
        <f>SUM(F536:K536)</f>
        <v>365.78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365.78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365.78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50616.62</v>
      </c>
      <c r="I541" s="18">
        <v>7008.56</v>
      </c>
      <c r="J541" s="18"/>
      <c r="K541" s="18"/>
      <c r="L541" s="88">
        <f>SUM(F541:K541)</f>
        <v>57625.18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50616.62</v>
      </c>
      <c r="I544" s="193">
        <f t="shared" si="40"/>
        <v>7008.56</v>
      </c>
      <c r="J544" s="193">
        <f t="shared" si="40"/>
        <v>0</v>
      </c>
      <c r="K544" s="193">
        <f t="shared" si="40"/>
        <v>0</v>
      </c>
      <c r="L544" s="193">
        <f t="shared" si="40"/>
        <v>57625.18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1355510.29</v>
      </c>
      <c r="G545" s="89">
        <f t="shared" ref="G545:L545" si="41">G524+G529+G534+G539+G544</f>
        <v>473116.12000000005</v>
      </c>
      <c r="H545" s="89">
        <f t="shared" si="41"/>
        <v>258827.4</v>
      </c>
      <c r="I545" s="89">
        <f t="shared" si="41"/>
        <v>37120.5</v>
      </c>
      <c r="J545" s="89">
        <f t="shared" si="41"/>
        <v>4337.63</v>
      </c>
      <c r="K545" s="89">
        <f t="shared" si="41"/>
        <v>2358</v>
      </c>
      <c r="L545" s="89">
        <f t="shared" si="41"/>
        <v>2131269.94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1502496.64</v>
      </c>
      <c r="G549" s="87">
        <f>L526</f>
        <v>496531.64</v>
      </c>
      <c r="H549" s="87">
        <f>L531</f>
        <v>74250.7</v>
      </c>
      <c r="I549" s="87">
        <f>L536</f>
        <v>365.78</v>
      </c>
      <c r="J549" s="87">
        <f>L541</f>
        <v>57625.18</v>
      </c>
      <c r="K549" s="87">
        <f>SUM(F549:J549)</f>
        <v>2131269.94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1502496.64</v>
      </c>
      <c r="G552" s="89">
        <f t="shared" si="42"/>
        <v>496531.64</v>
      </c>
      <c r="H552" s="89">
        <f t="shared" si="42"/>
        <v>74250.7</v>
      </c>
      <c r="I552" s="89">
        <f t="shared" si="42"/>
        <v>365.78</v>
      </c>
      <c r="J552" s="89">
        <f t="shared" si="42"/>
        <v>57625.18</v>
      </c>
      <c r="K552" s="89">
        <f t="shared" si="42"/>
        <v>2131269.94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115483.32</v>
      </c>
      <c r="G582" s="18"/>
      <c r="H582" s="18"/>
      <c r="I582" s="87">
        <f t="shared" si="47"/>
        <v>115483.32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122545.52+122545.53+34218.3</f>
        <v>279309.34999999998</v>
      </c>
      <c r="I591" s="18"/>
      <c r="J591" s="18"/>
      <c r="K591" s="104">
        <f t="shared" ref="K591:K597" si="48">SUM(H591:J591)</f>
        <v>279309.34999999998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22649.66+5900.24+13475.7+2535+58.25+944.79+3403.88+1649.1+7008.56</f>
        <v>57625.18</v>
      </c>
      <c r="I592" s="18"/>
      <c r="J592" s="18"/>
      <c r="K592" s="104">
        <f t="shared" si="48"/>
        <v>57625.18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336934.52999999997</v>
      </c>
      <c r="I598" s="108">
        <f>SUM(I591:I597)</f>
        <v>0</v>
      </c>
      <c r="J598" s="108">
        <f>SUM(J591:J597)</f>
        <v>0</v>
      </c>
      <c r="K598" s="108">
        <f>SUM(K591:K597)</f>
        <v>336934.52999999997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64635.78</v>
      </c>
      <c r="I604" s="18"/>
      <c r="J604" s="18"/>
      <c r="K604" s="104">
        <f>SUM(H604:J604)</f>
        <v>64635.78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64635.78</v>
      </c>
      <c r="I605" s="108">
        <f>SUM(I602:I604)</f>
        <v>0</v>
      </c>
      <c r="J605" s="108">
        <f>SUM(J602:J604)</f>
        <v>0</v>
      </c>
      <c r="K605" s="108">
        <f>SUM(K602:K604)</f>
        <v>64635.78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13196.14+10363.64+8301.25</f>
        <v>31861.03</v>
      </c>
      <c r="G611" s="18"/>
      <c r="H611" s="18"/>
      <c r="I611" s="18"/>
      <c r="J611" s="18"/>
      <c r="K611" s="18"/>
      <c r="L611" s="88">
        <f>SUM(F611:K611)</f>
        <v>31861.03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31861.03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31861.03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1474876.73</v>
      </c>
      <c r="H617" s="109">
        <f>SUM(F52)</f>
        <v>1474876.73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41947.879999999961</v>
      </c>
      <c r="H618" s="109">
        <f>SUM(G52)</f>
        <v>41947.88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156991</v>
      </c>
      <c r="H619" s="109">
        <f>SUM(H52)</f>
        <v>156991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155365.37</v>
      </c>
      <c r="H621" s="109">
        <f>SUM(J52)</f>
        <v>155365.37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680405.21</v>
      </c>
      <c r="H622" s="109">
        <f>F476</f>
        <v>680405.20999999903</v>
      </c>
      <c r="I622" s="121" t="s">
        <v>101</v>
      </c>
      <c r="J622" s="109">
        <f t="shared" ref="J622:J655" si="50">G622-H622</f>
        <v>9.3132257461547852E-10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27591.34</v>
      </c>
      <c r="H623" s="109">
        <f>G476</f>
        <v>27591.339999999997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155365.37</v>
      </c>
      <c r="H626" s="109">
        <f>J476</f>
        <v>155365.37000000002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10284903.060000001</v>
      </c>
      <c r="H627" s="104">
        <f>SUM(F468)</f>
        <v>10284903.060000001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206731.78</v>
      </c>
      <c r="H628" s="104">
        <f>SUM(G468)</f>
        <v>206731.78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165071.75</v>
      </c>
      <c r="H629" s="104">
        <f>SUM(H468)</f>
        <v>165071.75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20104.419999999998</v>
      </c>
      <c r="H631" s="104">
        <f>SUM(J468)</f>
        <v>20104.419999999998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10030140.530000001</v>
      </c>
      <c r="H632" s="104">
        <f>SUM(F472)</f>
        <v>10030140.530000001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165071.75</v>
      </c>
      <c r="H633" s="104">
        <f>SUM(H472)</f>
        <v>165071.75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97639.86</v>
      </c>
      <c r="H634" s="104">
        <f>I369</f>
        <v>97639.86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206218.02000000002</v>
      </c>
      <c r="H635" s="104">
        <f>SUM(G472)</f>
        <v>206218.02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20104.419999999998</v>
      </c>
      <c r="H637" s="164">
        <f>SUM(J468)</f>
        <v>20104.419999999998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92247.65</v>
      </c>
      <c r="H638" s="164">
        <f>SUM(J472)</f>
        <v>92247.65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155365.37</v>
      </c>
      <c r="H640" s="104">
        <f>SUM(G461)</f>
        <v>155365.37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155365.37</v>
      </c>
      <c r="H642" s="104">
        <f>SUM(I461)</f>
        <v>155365.37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104.42</v>
      </c>
      <c r="H644" s="104">
        <f>H408</f>
        <v>104.42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20104.419999999998</v>
      </c>
      <c r="H646" s="104">
        <f>L408</f>
        <v>20104.419999999998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336934.52999999997</v>
      </c>
      <c r="H647" s="104">
        <f>L208+L226+L244</f>
        <v>336934.52999999997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64635.78</v>
      </c>
      <c r="H648" s="104">
        <f>(J257+J338)-(J255+J336)</f>
        <v>64635.78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336934.52999999997</v>
      </c>
      <c r="H649" s="104">
        <f>H598</f>
        <v>336934.52999999997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10373930.300000001</v>
      </c>
      <c r="G660" s="19">
        <f>(L229+L309+L359)</f>
        <v>0</v>
      </c>
      <c r="H660" s="19">
        <f>(L247+L328+L360)</f>
        <v>0</v>
      </c>
      <c r="I660" s="19">
        <f>SUM(F660:H660)</f>
        <v>10373930.300000001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171854.03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171854.03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336934.52999999997</v>
      </c>
      <c r="G662" s="19">
        <f>(L226+L306)-(J226+J306)</f>
        <v>0</v>
      </c>
      <c r="H662" s="19">
        <f>(L244+L325)-(J244+J325)</f>
        <v>0</v>
      </c>
      <c r="I662" s="19">
        <f>SUM(F662:H662)</f>
        <v>336934.52999999997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211980.13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211980.13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9653161.6100000013</v>
      </c>
      <c r="G664" s="19">
        <f>G660-SUM(G661:G663)</f>
        <v>0</v>
      </c>
      <c r="H664" s="19">
        <f>H660-SUM(H661:H663)</f>
        <v>0</v>
      </c>
      <c r="I664" s="19">
        <f>I660-SUM(I661:I663)</f>
        <v>9653161.6100000013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614.02</v>
      </c>
      <c r="G665" s="248"/>
      <c r="H665" s="248"/>
      <c r="I665" s="19">
        <f>SUM(F665:H665)</f>
        <v>614.02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15721.25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15721.25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15721.25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15721.25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25" right="0.25" top="0.75" bottom="0.75" header="0.3" footer="0.3"/>
  <pageSetup scale="90" fitToHeight="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6383" man="1"/>
    <brk id="112" max="16383" man="1"/>
    <brk id="140" max="16383" man="1"/>
    <brk id="169" max="16383" man="1"/>
    <brk id="193" max="16383" man="1"/>
    <brk id="211" max="16383" man="1"/>
    <brk id="229" max="16383" man="1"/>
    <brk id="247" max="16383" man="1"/>
    <brk id="271" max="16383" man="1"/>
    <brk id="290" max="16383" man="1"/>
    <brk id="309" max="16383" man="1"/>
    <brk id="328" max="16383" man="1"/>
    <brk id="352" max="16383" man="1"/>
    <brk id="382" max="16383" man="1"/>
    <brk id="408" max="16383" man="1"/>
    <brk id="434" max="16383" man="1"/>
    <brk id="461" max="16383" man="1"/>
    <brk id="485" max="16383" man="1"/>
    <brk id="517" max="16383" man="1"/>
    <brk id="552" max="16383" man="1"/>
    <brk id="588" max="16383" man="1"/>
    <brk id="615" max="16383" man="1"/>
    <brk id="656" max="16383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HOLLIS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3388871.27</v>
      </c>
      <c r="C9" s="229">
        <f>'DOE25'!G197+'DOE25'!G215+'DOE25'!G233+'DOE25'!G276+'DOE25'!G295+'DOE25'!G314</f>
        <v>1268570.8700000001</v>
      </c>
    </row>
    <row r="10" spans="1:3" x14ac:dyDescent="0.2">
      <c r="A10" t="s">
        <v>779</v>
      </c>
      <c r="B10" s="240">
        <v>3175889.87</v>
      </c>
      <c r="C10" s="240">
        <v>1209550.52</v>
      </c>
    </row>
    <row r="11" spans="1:3" x14ac:dyDescent="0.2">
      <c r="A11" t="s">
        <v>780</v>
      </c>
      <c r="B11" s="240">
        <v>93689.18</v>
      </c>
      <c r="C11" s="240">
        <v>35681.9</v>
      </c>
    </row>
    <row r="12" spans="1:3" x14ac:dyDescent="0.2">
      <c r="A12" t="s">
        <v>781</v>
      </c>
      <c r="B12" s="240">
        <v>119292.22</v>
      </c>
      <c r="C12" s="240">
        <v>23338.45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3388871.2700000005</v>
      </c>
      <c r="C13" s="231">
        <f>SUM(C10:C12)</f>
        <v>1268570.8699999999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1091568.72</v>
      </c>
      <c r="C18" s="229">
        <f>'DOE25'!G198+'DOE25'!G216+'DOE25'!G234+'DOE25'!G277+'DOE25'!G296+'DOE25'!G315</f>
        <v>364016.39</v>
      </c>
    </row>
    <row r="19" spans="1:3" x14ac:dyDescent="0.2">
      <c r="A19" t="s">
        <v>779</v>
      </c>
      <c r="B19" s="240">
        <v>355705.23</v>
      </c>
      <c r="C19" s="240">
        <v>118620.6</v>
      </c>
    </row>
    <row r="20" spans="1:3" x14ac:dyDescent="0.2">
      <c r="A20" t="s">
        <v>780</v>
      </c>
      <c r="B20" s="240">
        <v>680423.49</v>
      </c>
      <c r="C20" s="240">
        <v>226907.66</v>
      </c>
    </row>
    <row r="21" spans="1:3" x14ac:dyDescent="0.2">
      <c r="A21" t="s">
        <v>781</v>
      </c>
      <c r="B21" s="240">
        <v>55440</v>
      </c>
      <c r="C21" s="240">
        <v>18488.13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1091568.72</v>
      </c>
      <c r="C22" s="231">
        <f>SUM(C19:C21)</f>
        <v>364016.39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HOLLIS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6250390.5300000012</v>
      </c>
      <c r="D5" s="20">
        <f>SUM('DOE25'!L197:L200)+SUM('DOE25'!L215:L218)+SUM('DOE25'!L233:L236)-F5-G5</f>
        <v>6235676.2300000014</v>
      </c>
      <c r="E5" s="243"/>
      <c r="F5" s="255">
        <f>SUM('DOE25'!J197:J200)+SUM('DOE25'!J215:J218)+SUM('DOE25'!J233:J236)</f>
        <v>12960.6</v>
      </c>
      <c r="G5" s="53">
        <f>SUM('DOE25'!K197:K200)+SUM('DOE25'!K215:K218)+SUM('DOE25'!K233:K236)</f>
        <v>1753.7</v>
      </c>
      <c r="H5" s="259"/>
    </row>
    <row r="6" spans="1:9" x14ac:dyDescent="0.2">
      <c r="A6" s="32">
        <v>2100</v>
      </c>
      <c r="B6" t="s">
        <v>801</v>
      </c>
      <c r="C6" s="245">
        <f t="shared" si="0"/>
        <v>912193.62</v>
      </c>
      <c r="D6" s="20">
        <f>'DOE25'!L202+'DOE25'!L220+'DOE25'!L238-F6-G6</f>
        <v>911394.24</v>
      </c>
      <c r="E6" s="243"/>
      <c r="F6" s="255">
        <f>'DOE25'!J202+'DOE25'!J220+'DOE25'!J238</f>
        <v>604.38</v>
      </c>
      <c r="G6" s="53">
        <f>'DOE25'!K202+'DOE25'!K220+'DOE25'!K238</f>
        <v>195</v>
      </c>
      <c r="H6" s="259"/>
    </row>
    <row r="7" spans="1:9" x14ac:dyDescent="0.2">
      <c r="A7" s="32">
        <v>2200</v>
      </c>
      <c r="B7" t="s">
        <v>834</v>
      </c>
      <c r="C7" s="245">
        <f t="shared" si="0"/>
        <v>399241.43999999994</v>
      </c>
      <c r="D7" s="20">
        <f>'DOE25'!L203+'DOE25'!L221+'DOE25'!L239-F7-G7</f>
        <v>372541.90999999992</v>
      </c>
      <c r="E7" s="243"/>
      <c r="F7" s="255">
        <f>'DOE25'!J203+'DOE25'!J221+'DOE25'!J239</f>
        <v>26699.53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269179.60999999993</v>
      </c>
      <c r="D8" s="243"/>
      <c r="E8" s="20">
        <f>'DOE25'!L204+'DOE25'!L222+'DOE25'!L240-F8-G8-D9-D11</f>
        <v>264535.44999999995</v>
      </c>
      <c r="F8" s="255">
        <f>'DOE25'!J204+'DOE25'!J222+'DOE25'!J240</f>
        <v>0</v>
      </c>
      <c r="G8" s="53">
        <f>'DOE25'!K204+'DOE25'!K222+'DOE25'!K240</f>
        <v>4644.16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41106.660000000003</v>
      </c>
      <c r="D9" s="244">
        <v>41106.660000000003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9650</v>
      </c>
      <c r="D10" s="243"/>
      <c r="E10" s="244">
        <v>9650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126379.39</v>
      </c>
      <c r="D11" s="244">
        <v>126379.39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718730.32</v>
      </c>
      <c r="D12" s="20">
        <f>'DOE25'!L205+'DOE25'!L223+'DOE25'!L241-F12-G12</f>
        <v>716887.1</v>
      </c>
      <c r="E12" s="243"/>
      <c r="F12" s="255">
        <f>'DOE25'!J205+'DOE25'!J223+'DOE25'!J241</f>
        <v>313.22000000000003</v>
      </c>
      <c r="G12" s="53">
        <f>'DOE25'!K205+'DOE25'!K223+'DOE25'!K241</f>
        <v>1530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858.65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858.65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947625.78</v>
      </c>
      <c r="D14" s="20">
        <f>'DOE25'!L207+'DOE25'!L225+'DOE25'!L243-F14-G14</f>
        <v>941264.39</v>
      </c>
      <c r="E14" s="243"/>
      <c r="F14" s="255">
        <f>'DOE25'!J207+'DOE25'!J225+'DOE25'!J243</f>
        <v>6361.39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336934.52999999997</v>
      </c>
      <c r="D15" s="20">
        <f>'DOE25'!L208+'DOE25'!L226+'DOE25'!L244-F15-G15</f>
        <v>336934.52999999997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7500</v>
      </c>
      <c r="D22" s="243"/>
      <c r="E22" s="243"/>
      <c r="F22" s="255">
        <f>'DOE25'!L255+'DOE25'!L336</f>
        <v>7500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117907.70000000001</v>
      </c>
      <c r="D29" s="20">
        <f>'DOE25'!L358+'DOE25'!L359+'DOE25'!L360-'DOE25'!I367-F29-G29</f>
        <v>117907.70000000001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165071.75</v>
      </c>
      <c r="D31" s="20">
        <f>'DOE25'!L290+'DOE25'!L309+'DOE25'!L328+'DOE25'!L333+'DOE25'!L334+'DOE25'!L335-F31-G31</f>
        <v>145672.09</v>
      </c>
      <c r="E31" s="243"/>
      <c r="F31" s="255">
        <f>'DOE25'!J290+'DOE25'!J309+'DOE25'!J328+'DOE25'!J333+'DOE25'!J334+'DOE25'!J335</f>
        <v>17696.66</v>
      </c>
      <c r="G31" s="53">
        <f>'DOE25'!K290+'DOE25'!K309+'DOE25'!K328+'DOE25'!K333+'DOE25'!K334+'DOE25'!K335</f>
        <v>1703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9945764.2400000002</v>
      </c>
      <c r="E33" s="246">
        <f>SUM(E5:E31)</f>
        <v>274185.44999999995</v>
      </c>
      <c r="F33" s="246">
        <f>SUM(F5:F31)</f>
        <v>72135.78</v>
      </c>
      <c r="G33" s="246">
        <f>SUM(G5:G31)</f>
        <v>10684.51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274185.44999999995</v>
      </c>
      <c r="E35" s="249"/>
    </row>
    <row r="36" spans="2:8" ht="12" thickTop="1" x14ac:dyDescent="0.2">
      <c r="B36" t="s">
        <v>815</v>
      </c>
      <c r="D36" s="20">
        <f>D33</f>
        <v>9945764.2400000002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HOLLIS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580237.38</v>
      </c>
      <c r="D8" s="95">
        <f>'DOE25'!G9</f>
        <v>12621.59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470.23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875890.37</v>
      </c>
      <c r="D11" s="95">
        <f>'DOE25'!G12</f>
        <v>21644.959999999963</v>
      </c>
      <c r="E11" s="95">
        <f>'DOE25'!H12</f>
        <v>0</v>
      </c>
      <c r="F11" s="95">
        <f>'DOE25'!I12</f>
        <v>0</v>
      </c>
      <c r="G11" s="95">
        <f>'DOE25'!J12</f>
        <v>155365.37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4261.25</v>
      </c>
      <c r="D12" s="95">
        <f>'DOE25'!G13</f>
        <v>1444.99</v>
      </c>
      <c r="E12" s="95">
        <f>'DOE25'!H13</f>
        <v>156991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7867.21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6236.34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7008.94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-858.65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1474876.73</v>
      </c>
      <c r="D18" s="41">
        <f>SUM(D8:D17)</f>
        <v>41947.879999999961</v>
      </c>
      <c r="E18" s="41">
        <f>SUM(E8:E17)</f>
        <v>156991</v>
      </c>
      <c r="F18" s="41">
        <f>SUM(F8:F17)</f>
        <v>0</v>
      </c>
      <c r="G18" s="41">
        <f>SUM(G8:G17)</f>
        <v>155365.37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656491.09</v>
      </c>
      <c r="D21" s="95">
        <f>'DOE25'!G22</f>
        <v>0</v>
      </c>
      <c r="E21" s="95">
        <f>'DOE25'!H22</f>
        <v>155288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5226.8500000000004</v>
      </c>
      <c r="D22" s="95">
        <f>'DOE25'!G23</f>
        <v>726.3</v>
      </c>
      <c r="E22" s="95">
        <f>'DOE25'!H23</f>
        <v>1703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37935.06</v>
      </c>
      <c r="D23" s="95">
        <f>'DOE25'!G24</f>
        <v>151.52000000000001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79389.89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14708.630000000001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720</v>
      </c>
      <c r="D29" s="95">
        <f>'DOE25'!G30</f>
        <v>13478.72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794471.52</v>
      </c>
      <c r="D31" s="41">
        <f>SUM(D21:D30)</f>
        <v>14356.539999999999</v>
      </c>
      <c r="E31" s="41">
        <f>SUM(E21:E30)</f>
        <v>156991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6236.34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7008.94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18825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158000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151787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155365.37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85008.8</v>
      </c>
      <c r="D48" s="95">
        <f>'DOE25'!G49</f>
        <v>2530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278600.46999999997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680405.21</v>
      </c>
      <c r="D50" s="41">
        <f>SUM(D34:D49)</f>
        <v>27591.34</v>
      </c>
      <c r="E50" s="41">
        <f>SUM(E34:E49)</f>
        <v>0</v>
      </c>
      <c r="F50" s="41">
        <f>SUM(F34:F49)</f>
        <v>0</v>
      </c>
      <c r="G50" s="41">
        <f>SUM(G34:G49)</f>
        <v>155365.37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1474876.73</v>
      </c>
      <c r="D51" s="41">
        <f>D50+D31</f>
        <v>41947.88</v>
      </c>
      <c r="E51" s="41">
        <f>E50+E31</f>
        <v>156991</v>
      </c>
      <c r="F51" s="41">
        <f>F50+F31</f>
        <v>0</v>
      </c>
      <c r="G51" s="41">
        <f>G50+G31</f>
        <v>155365.37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7756060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22800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697.97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104.42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171854.03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75682.33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99180.3</v>
      </c>
      <c r="D62" s="130">
        <f>SUM(D57:D61)</f>
        <v>171854.03</v>
      </c>
      <c r="E62" s="130">
        <f>SUM(E57:E61)</f>
        <v>0</v>
      </c>
      <c r="F62" s="130">
        <f>SUM(F57:F61)</f>
        <v>0</v>
      </c>
      <c r="G62" s="130">
        <f>SUM(G57:G61)</f>
        <v>104.42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7855240.2999999998</v>
      </c>
      <c r="D63" s="22">
        <f>D56+D62</f>
        <v>171854.03</v>
      </c>
      <c r="E63" s="22">
        <f>E56+E62</f>
        <v>0</v>
      </c>
      <c r="F63" s="22">
        <f>F56+F62</f>
        <v>0</v>
      </c>
      <c r="G63" s="22">
        <f>G56+G62</f>
        <v>104.42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932187.19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1389432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2321619.19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93212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2607.23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93212</v>
      </c>
      <c r="D78" s="130">
        <f>SUM(D72:D77)</f>
        <v>2607.23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2414831.19</v>
      </c>
      <c r="D81" s="130">
        <f>SUM(D79:D80)+D78+D70</f>
        <v>2607.23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10739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14831.57</v>
      </c>
      <c r="D88" s="95">
        <f>SUM('DOE25'!G153:G161)</f>
        <v>21531.52</v>
      </c>
      <c r="E88" s="95">
        <f>SUM('DOE25'!H153:H161)</f>
        <v>165071.75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14831.57</v>
      </c>
      <c r="D91" s="131">
        <f>SUM(D85:D90)</f>
        <v>32270.52</v>
      </c>
      <c r="E91" s="131">
        <f>SUM(E85:E90)</f>
        <v>165071.75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10284903.060000001</v>
      </c>
      <c r="D104" s="86">
        <f>D63+D81+D91+D103</f>
        <v>206731.78</v>
      </c>
      <c r="E104" s="86">
        <f>E63+E81+E91+E103</f>
        <v>165071.75</v>
      </c>
      <c r="F104" s="86">
        <f>F63+F81+F91+F103</f>
        <v>0</v>
      </c>
      <c r="G104" s="86">
        <f>G63+G81+G103</f>
        <v>20104.419999999998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4783969.580000001</v>
      </c>
      <c r="D109" s="24" t="s">
        <v>289</v>
      </c>
      <c r="E109" s="95">
        <f>('DOE25'!L276)+('DOE25'!L295)+('DOE25'!L314)</f>
        <v>17696.66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1466420.95</v>
      </c>
      <c r="D110" s="24" t="s">
        <v>289</v>
      </c>
      <c r="E110" s="95">
        <f>('DOE25'!L277)+('DOE25'!L296)+('DOE25'!L315)</f>
        <v>131011.09000000001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6250390.5300000012</v>
      </c>
      <c r="D115" s="86">
        <f>SUM(D109:D114)</f>
        <v>0</v>
      </c>
      <c r="E115" s="86">
        <f>SUM(E109:E114)</f>
        <v>148707.75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912193.62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399241.43999999994</v>
      </c>
      <c r="D119" s="24" t="s">
        <v>289</v>
      </c>
      <c r="E119" s="95">
        <f>+('DOE25'!L282)+('DOE25'!L301)+('DOE25'!L320)</f>
        <v>16364.000000000002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436665.66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718730.32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858.65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947625.78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336934.52999999997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206218.02000000002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3752249.9999999995</v>
      </c>
      <c r="D128" s="86">
        <f>SUM(D118:D127)</f>
        <v>206218.02000000002</v>
      </c>
      <c r="E128" s="86">
        <f>SUM(E118:E127)</f>
        <v>16364.000000000002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7500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20104.419999999998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-104.41999999999825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10030140.530000001</v>
      </c>
      <c r="D145" s="86">
        <f>(D115+D128+D144)</f>
        <v>206218.02000000002</v>
      </c>
      <c r="E145" s="86">
        <f>(E115+E128+E144)</f>
        <v>165071.75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6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HOLLIS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15721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15721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4801666</v>
      </c>
      <c r="D10" s="182">
        <f>ROUND((C10/$C$28)*100,1)</f>
        <v>47.1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1597432</v>
      </c>
      <c r="D11" s="182">
        <f>ROUND((C11/$C$28)*100,1)</f>
        <v>15.7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912194</v>
      </c>
      <c r="D15" s="182">
        <f t="shared" ref="D15:D27" si="0">ROUND((C15/$C$28)*100,1)</f>
        <v>8.9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415605</v>
      </c>
      <c r="D16" s="182">
        <f t="shared" si="0"/>
        <v>4.0999999999999996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436666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718730</v>
      </c>
      <c r="D18" s="182">
        <f t="shared" si="0"/>
        <v>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859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947626</v>
      </c>
      <c r="D20" s="182">
        <f t="shared" si="0"/>
        <v>9.3000000000000007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336935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34363.97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10202076.970000001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7500</v>
      </c>
    </row>
    <row r="30" spans="1:4" x14ac:dyDescent="0.2">
      <c r="B30" s="187" t="s">
        <v>729</v>
      </c>
      <c r="C30" s="180">
        <f>SUM(C28:C29)</f>
        <v>10209576.970000001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7756060</v>
      </c>
      <c r="D35" s="182">
        <f t="shared" ref="D35:D40" si="1">ROUND((C35/$C$41)*100,1)</f>
        <v>74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99284.719999999739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2321619</v>
      </c>
      <c r="D37" s="182">
        <f t="shared" si="1"/>
        <v>22.1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95819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212174</v>
      </c>
      <c r="D39" s="182">
        <f t="shared" si="1"/>
        <v>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10484956.719999999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2" sqref="C22:M2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HOLLIS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:F11"/>
    </sheetView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2016-10-06T14:51:42Z</cp:lastPrinted>
  <dcterms:created xsi:type="dcterms:W3CDTF">1997-12-04T19:04:30Z</dcterms:created>
  <dcterms:modified xsi:type="dcterms:W3CDTF">2016-10-25T15:17:21Z</dcterms:modified>
</cp:coreProperties>
</file>