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19440" windowHeight="91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68" i="1" l="1"/>
  <c r="F567" i="1"/>
  <c r="I533" i="1"/>
  <c r="F532" i="1"/>
  <c r="F522" i="1"/>
  <c r="I526" i="1"/>
  <c r="H526" i="1"/>
  <c r="G526" i="1"/>
  <c r="K521" i="1"/>
  <c r="J521" i="1"/>
  <c r="I522" i="1"/>
  <c r="I521" i="1"/>
  <c r="H522" i="1"/>
  <c r="H521" i="1"/>
  <c r="G522" i="1"/>
  <c r="G521" i="1"/>
  <c r="F521" i="1"/>
  <c r="H523" i="1"/>
  <c r="G523" i="1"/>
  <c r="F523" i="1"/>
  <c r="I527" i="1"/>
  <c r="G527" i="1"/>
  <c r="F527" i="1"/>
  <c r="F526" i="1"/>
  <c r="J526" i="1"/>
  <c r="H531" i="1"/>
  <c r="H528" i="1"/>
  <c r="H527" i="1"/>
  <c r="G528" i="1"/>
  <c r="F528" i="1"/>
  <c r="J533" i="1"/>
  <c r="J532" i="1"/>
  <c r="J531" i="1"/>
  <c r="I532" i="1"/>
  <c r="I531" i="1"/>
  <c r="H533" i="1"/>
  <c r="H532" i="1"/>
  <c r="G533" i="1"/>
  <c r="G532" i="1"/>
  <c r="G531" i="1"/>
  <c r="F533" i="1"/>
  <c r="F531" i="1"/>
  <c r="H223" i="1" l="1"/>
  <c r="H216" i="1"/>
  <c r="F209" i="1"/>
  <c r="F198" i="1"/>
  <c r="H198" i="1"/>
  <c r="H234" i="1"/>
  <c r="H244" i="1"/>
  <c r="J227" i="1"/>
  <c r="I227" i="1"/>
  <c r="H227" i="1"/>
  <c r="G227" i="1"/>
  <c r="F227" i="1"/>
  <c r="H226" i="1"/>
  <c r="J225" i="1"/>
  <c r="I225" i="1"/>
  <c r="H225" i="1"/>
  <c r="G225" i="1"/>
  <c r="F225" i="1"/>
  <c r="H222" i="1"/>
  <c r="K222" i="1"/>
  <c r="I222" i="1"/>
  <c r="G222" i="1"/>
  <c r="F222" i="1"/>
  <c r="G221" i="1"/>
  <c r="F221" i="1"/>
  <c r="I221" i="1"/>
  <c r="H221" i="1"/>
  <c r="K220" i="1"/>
  <c r="H220" i="1"/>
  <c r="G220" i="1"/>
  <c r="F220" i="1"/>
  <c r="J216" i="1"/>
  <c r="I216" i="1"/>
  <c r="G216" i="1"/>
  <c r="F216" i="1"/>
  <c r="K215" i="1"/>
  <c r="G215" i="1"/>
  <c r="F215" i="1"/>
  <c r="G234" i="1"/>
  <c r="F234" i="1"/>
  <c r="J209" i="1"/>
  <c r="I209" i="1"/>
  <c r="H209" i="1"/>
  <c r="G209" i="1"/>
  <c r="H208" i="1"/>
  <c r="J207" i="1"/>
  <c r="I207" i="1"/>
  <c r="H207" i="1"/>
  <c r="G207" i="1"/>
  <c r="F207" i="1"/>
  <c r="H205" i="1"/>
  <c r="H204" i="1"/>
  <c r="K204" i="1"/>
  <c r="I204" i="1"/>
  <c r="G204" i="1"/>
  <c r="F204" i="1"/>
  <c r="G203" i="1"/>
  <c r="F203" i="1"/>
  <c r="I203" i="1"/>
  <c r="H203" i="1"/>
  <c r="K202" i="1"/>
  <c r="H202" i="1"/>
  <c r="G202" i="1"/>
  <c r="F202" i="1"/>
  <c r="J198" i="1"/>
  <c r="I198" i="1"/>
  <c r="G198" i="1"/>
  <c r="K197" i="1"/>
  <c r="G197" i="1"/>
  <c r="F197" i="1"/>
  <c r="H233" i="1"/>
  <c r="K223" i="1"/>
  <c r="J223" i="1"/>
  <c r="I223" i="1"/>
  <c r="G223" i="1"/>
  <c r="F223" i="1"/>
  <c r="K221" i="1"/>
  <c r="J221" i="1"/>
  <c r="I220" i="1"/>
  <c r="J220" i="1"/>
  <c r="I218" i="1"/>
  <c r="G218" i="1"/>
  <c r="F218" i="1"/>
  <c r="K218" i="1"/>
  <c r="J218" i="1"/>
  <c r="H218" i="1"/>
  <c r="J215" i="1"/>
  <c r="I215" i="1"/>
  <c r="H215" i="1"/>
  <c r="H255" i="1"/>
  <c r="K205" i="1"/>
  <c r="J205" i="1"/>
  <c r="I205" i="1"/>
  <c r="G205" i="1"/>
  <c r="F205" i="1"/>
  <c r="K203" i="1"/>
  <c r="J203" i="1"/>
  <c r="I202" i="1"/>
  <c r="J202" i="1"/>
  <c r="I200" i="1"/>
  <c r="G200" i="1"/>
  <c r="F200" i="1"/>
  <c r="H200" i="1"/>
  <c r="K198" i="1"/>
  <c r="J197" i="1"/>
  <c r="I197" i="1"/>
  <c r="H197" i="1"/>
  <c r="H300" i="1" l="1"/>
  <c r="H307" i="1"/>
  <c r="H288" i="1"/>
  <c r="K304" i="1"/>
  <c r="K285" i="1"/>
  <c r="I301" i="1"/>
  <c r="I282" i="1"/>
  <c r="H301" i="1"/>
  <c r="H282" i="1"/>
  <c r="G282" i="1"/>
  <c r="G301" i="1"/>
  <c r="F301" i="1"/>
  <c r="F282" i="1"/>
  <c r="H281" i="1"/>
  <c r="G281" i="1"/>
  <c r="G300" i="1"/>
  <c r="F300" i="1"/>
  <c r="F298" i="1"/>
  <c r="F279" i="1"/>
  <c r="J296" i="1"/>
  <c r="J277" i="1"/>
  <c r="I296" i="1"/>
  <c r="I277" i="1"/>
  <c r="H296" i="1"/>
  <c r="H277" i="1"/>
  <c r="G277" i="1"/>
  <c r="G296" i="1"/>
  <c r="F296" i="1"/>
  <c r="F277" i="1"/>
  <c r="I276" i="1"/>
  <c r="G276" i="1"/>
  <c r="F276" i="1"/>
  <c r="G367" i="1"/>
  <c r="F367" i="1"/>
  <c r="K359" i="1"/>
  <c r="K358" i="1"/>
  <c r="G359" i="1"/>
  <c r="G358" i="1"/>
  <c r="F359" i="1"/>
  <c r="F358" i="1"/>
  <c r="H359" i="1"/>
  <c r="H358" i="1"/>
  <c r="C45" i="2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C109" i="2" s="1"/>
  <c r="L216" i="1"/>
  <c r="L217" i="1"/>
  <c r="L218" i="1"/>
  <c r="C13" i="10" s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E119" i="2" s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L250" i="1"/>
  <c r="L332" i="1"/>
  <c r="L254" i="1"/>
  <c r="L268" i="1"/>
  <c r="L269" i="1"/>
  <c r="L349" i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C114" i="2"/>
  <c r="D115" i="2"/>
  <c r="F115" i="2"/>
  <c r="G115" i="2"/>
  <c r="C119" i="2"/>
  <c r="E120" i="2"/>
  <c r="E121" i="2"/>
  <c r="E123" i="2"/>
  <c r="E124" i="2"/>
  <c r="C125" i="2"/>
  <c r="F128" i="2"/>
  <c r="G128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G338" i="1" s="1"/>
  <c r="G352" i="1" s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G408" i="1" s="1"/>
  <c r="H645" i="1" s="1"/>
  <c r="H407" i="1"/>
  <c r="H408" i="1" s="1"/>
  <c r="H644" i="1" s="1"/>
  <c r="I407" i="1"/>
  <c r="F408" i="1"/>
  <c r="H643" i="1" s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J641" i="1" s="1"/>
  <c r="I446" i="1"/>
  <c r="G642" i="1" s="1"/>
  <c r="F452" i="1"/>
  <c r="G452" i="1"/>
  <c r="H452" i="1"/>
  <c r="I452" i="1"/>
  <c r="F460" i="1"/>
  <c r="G460" i="1"/>
  <c r="H460" i="1"/>
  <c r="H461" i="1" s="1"/>
  <c r="H641" i="1" s="1"/>
  <c r="I460" i="1"/>
  <c r="F461" i="1"/>
  <c r="G461" i="1"/>
  <c r="I461" i="1"/>
  <c r="H642" i="1" s="1"/>
  <c r="F470" i="1"/>
  <c r="G470" i="1"/>
  <c r="H470" i="1"/>
  <c r="I470" i="1"/>
  <c r="I476" i="1" s="1"/>
  <c r="H625" i="1" s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H640" i="1"/>
  <c r="G643" i="1"/>
  <c r="G644" i="1"/>
  <c r="G650" i="1"/>
  <c r="G651" i="1"/>
  <c r="G652" i="1"/>
  <c r="H652" i="1"/>
  <c r="G653" i="1"/>
  <c r="H653" i="1"/>
  <c r="G654" i="1"/>
  <c r="H654" i="1"/>
  <c r="H655" i="1"/>
  <c r="C26" i="10"/>
  <c r="L328" i="1"/>
  <c r="D15" i="13"/>
  <c r="C15" i="13" s="1"/>
  <c r="F78" i="2"/>
  <c r="D50" i="2"/>
  <c r="G62" i="2"/>
  <c r="D19" i="13"/>
  <c r="C19" i="13" s="1"/>
  <c r="E13" i="13"/>
  <c r="C13" i="13" s="1"/>
  <c r="E78" i="2"/>
  <c r="I169" i="1"/>
  <c r="H169" i="1"/>
  <c r="H476" i="1"/>
  <c r="H624" i="1" s="1"/>
  <c r="J624" i="1" s="1"/>
  <c r="F476" i="1"/>
  <c r="H622" i="1" s="1"/>
  <c r="J622" i="1" s="1"/>
  <c r="J140" i="1"/>
  <c r="K550" i="1"/>
  <c r="G22" i="2"/>
  <c r="H140" i="1"/>
  <c r="H192" i="1"/>
  <c r="G36" i="2"/>
  <c r="J552" i="1" l="1"/>
  <c r="A13" i="12"/>
  <c r="L570" i="1"/>
  <c r="L544" i="1"/>
  <c r="F552" i="1"/>
  <c r="G552" i="1"/>
  <c r="L534" i="1"/>
  <c r="H545" i="1"/>
  <c r="K549" i="1"/>
  <c r="L524" i="1"/>
  <c r="G645" i="1"/>
  <c r="J655" i="1"/>
  <c r="E8" i="13"/>
  <c r="C8" i="13" s="1"/>
  <c r="C121" i="2"/>
  <c r="C123" i="2"/>
  <c r="D12" i="13"/>
  <c r="C12" i="13" s="1"/>
  <c r="C16" i="10"/>
  <c r="I257" i="1"/>
  <c r="I271" i="1" s="1"/>
  <c r="C112" i="2"/>
  <c r="F257" i="1"/>
  <c r="F271" i="1" s="1"/>
  <c r="G257" i="1"/>
  <c r="G271" i="1" s="1"/>
  <c r="F22" i="13"/>
  <c r="C22" i="13" s="1"/>
  <c r="C20" i="10"/>
  <c r="C18" i="10"/>
  <c r="L211" i="1"/>
  <c r="H257" i="1"/>
  <c r="H271" i="1" s="1"/>
  <c r="C110" i="2"/>
  <c r="G476" i="1"/>
  <c r="H623" i="1" s="1"/>
  <c r="K605" i="1"/>
  <c r="G648" i="1" s="1"/>
  <c r="E125" i="2"/>
  <c r="H338" i="1"/>
  <c r="H352" i="1" s="1"/>
  <c r="L309" i="1"/>
  <c r="F338" i="1"/>
  <c r="F352" i="1" s="1"/>
  <c r="L290" i="1"/>
  <c r="D5" i="13"/>
  <c r="C5" i="13" s="1"/>
  <c r="C11" i="10"/>
  <c r="J639" i="1"/>
  <c r="J640" i="1"/>
  <c r="L401" i="1"/>
  <c r="C139" i="2" s="1"/>
  <c r="G661" i="1"/>
  <c r="L362" i="1"/>
  <c r="C27" i="10" s="1"/>
  <c r="H661" i="1"/>
  <c r="C32" i="10"/>
  <c r="J623" i="1"/>
  <c r="H52" i="1"/>
  <c r="H619" i="1" s="1"/>
  <c r="J617" i="1"/>
  <c r="K598" i="1"/>
  <c r="G647" i="1" s="1"/>
  <c r="I571" i="1"/>
  <c r="J571" i="1"/>
  <c r="K571" i="1"/>
  <c r="L560" i="1"/>
  <c r="L433" i="1"/>
  <c r="F112" i="1"/>
  <c r="E122" i="2"/>
  <c r="E118" i="2"/>
  <c r="E128" i="2" s="1"/>
  <c r="C10" i="10"/>
  <c r="C21" i="10"/>
  <c r="C118" i="2"/>
  <c r="L247" i="1"/>
  <c r="H660" i="1" s="1"/>
  <c r="L229" i="1"/>
  <c r="C12" i="10"/>
  <c r="C122" i="2"/>
  <c r="C17" i="10"/>
  <c r="G81" i="2"/>
  <c r="C132" i="2"/>
  <c r="L270" i="1"/>
  <c r="K551" i="1"/>
  <c r="H552" i="1"/>
  <c r="C29" i="10"/>
  <c r="J257" i="1"/>
  <c r="J271" i="1" s="1"/>
  <c r="J651" i="1"/>
  <c r="K545" i="1"/>
  <c r="G545" i="1"/>
  <c r="J545" i="1"/>
  <c r="J644" i="1"/>
  <c r="L256" i="1"/>
  <c r="K257" i="1"/>
  <c r="K271" i="1" s="1"/>
  <c r="J643" i="1"/>
  <c r="F571" i="1"/>
  <c r="L565" i="1"/>
  <c r="H571" i="1"/>
  <c r="I545" i="1"/>
  <c r="J645" i="1"/>
  <c r="J634" i="1"/>
  <c r="D62" i="2"/>
  <c r="D63" i="2" s="1"/>
  <c r="D31" i="2"/>
  <c r="D51" i="2" s="1"/>
  <c r="D91" i="2"/>
  <c r="C91" i="2"/>
  <c r="C78" i="2"/>
  <c r="F18" i="2"/>
  <c r="A31" i="12"/>
  <c r="D29" i="13"/>
  <c r="C29" i="13" s="1"/>
  <c r="D14" i="13"/>
  <c r="C14" i="13" s="1"/>
  <c r="D7" i="13"/>
  <c r="C7" i="13" s="1"/>
  <c r="D6" i="13"/>
  <c r="C6" i="13" s="1"/>
  <c r="E16" i="13"/>
  <c r="C16" i="13" s="1"/>
  <c r="G164" i="2"/>
  <c r="G156" i="2"/>
  <c r="E31" i="2"/>
  <c r="C18" i="2"/>
  <c r="G157" i="2"/>
  <c r="E103" i="2"/>
  <c r="D81" i="2"/>
  <c r="C70" i="2"/>
  <c r="E62" i="2"/>
  <c r="E63" i="2" s="1"/>
  <c r="A40" i="12"/>
  <c r="D18" i="13"/>
  <c r="C18" i="13" s="1"/>
  <c r="D17" i="13"/>
  <c r="C17" i="13" s="1"/>
  <c r="J625" i="1"/>
  <c r="E109" i="2"/>
  <c r="E115" i="2" s="1"/>
  <c r="C62" i="2"/>
  <c r="F661" i="1"/>
  <c r="C19" i="10"/>
  <c r="C15" i="10"/>
  <c r="G112" i="1"/>
  <c r="L382" i="1"/>
  <c r="G636" i="1" s="1"/>
  <c r="J636" i="1" s="1"/>
  <c r="I552" i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I662" i="1" s="1"/>
  <c r="K503" i="1"/>
  <c r="K352" i="1"/>
  <c r="C35" i="10"/>
  <c r="H25" i="13"/>
  <c r="E81" i="2"/>
  <c r="F81" i="2"/>
  <c r="L351" i="1"/>
  <c r="H647" i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A22" i="12"/>
  <c r="J652" i="1"/>
  <c r="J642" i="1"/>
  <c r="G571" i="1"/>
  <c r="I434" i="1"/>
  <c r="G434" i="1"/>
  <c r="I663" i="1"/>
  <c r="L571" i="1" l="1"/>
  <c r="K552" i="1"/>
  <c r="L545" i="1"/>
  <c r="F104" i="2"/>
  <c r="C115" i="2"/>
  <c r="G660" i="1"/>
  <c r="G664" i="1" s="1"/>
  <c r="G667" i="1" s="1"/>
  <c r="F660" i="1"/>
  <c r="F664" i="1" s="1"/>
  <c r="C128" i="2"/>
  <c r="L338" i="1"/>
  <c r="L352" i="1" s="1"/>
  <c r="G633" i="1" s="1"/>
  <c r="J633" i="1" s="1"/>
  <c r="H648" i="1"/>
  <c r="J648" i="1" s="1"/>
  <c r="D31" i="13"/>
  <c r="C31" i="13" s="1"/>
  <c r="J647" i="1"/>
  <c r="C28" i="10"/>
  <c r="D22" i="10" s="1"/>
  <c r="I193" i="1"/>
  <c r="G630" i="1" s="1"/>
  <c r="J630" i="1" s="1"/>
  <c r="C141" i="2"/>
  <c r="C144" i="2" s="1"/>
  <c r="G635" i="1"/>
  <c r="J635" i="1" s="1"/>
  <c r="H664" i="1"/>
  <c r="I661" i="1"/>
  <c r="E104" i="2"/>
  <c r="C81" i="2"/>
  <c r="C36" i="10"/>
  <c r="E145" i="2"/>
  <c r="L257" i="1"/>
  <c r="L271" i="1" s="1"/>
  <c r="G632" i="1" s="1"/>
  <c r="J632" i="1" s="1"/>
  <c r="G104" i="2"/>
  <c r="E33" i="13"/>
  <c r="D35" i="13" s="1"/>
  <c r="C25" i="13"/>
  <c r="H33" i="13"/>
  <c r="L408" i="1"/>
  <c r="C63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I660" i="1" l="1"/>
  <c r="C145" i="2"/>
  <c r="D23" i="10"/>
  <c r="G672" i="1"/>
  <c r="C5" i="10" s="1"/>
  <c r="C30" i="10"/>
  <c r="D10" i="10"/>
  <c r="D18" i="10"/>
  <c r="D12" i="10"/>
  <c r="D26" i="10"/>
  <c r="D16" i="10"/>
  <c r="D27" i="10"/>
  <c r="D17" i="10"/>
  <c r="D24" i="10"/>
  <c r="D20" i="10"/>
  <c r="D15" i="10"/>
  <c r="D25" i="10"/>
  <c r="D19" i="10"/>
  <c r="D13" i="10"/>
  <c r="D11" i="10"/>
  <c r="D21" i="10"/>
  <c r="I664" i="1"/>
  <c r="I672" i="1" s="1"/>
  <c r="C7" i="10" s="1"/>
  <c r="H672" i="1"/>
  <c r="C6" i="10" s="1"/>
  <c r="H667" i="1"/>
  <c r="C104" i="2"/>
  <c r="F672" i="1"/>
  <c r="C4" i="10" s="1"/>
  <c r="F667" i="1"/>
  <c r="G637" i="1"/>
  <c r="J637" i="1" s="1"/>
  <c r="H646" i="1"/>
  <c r="J646" i="1" s="1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<sst xmlns="http://schemas.openxmlformats.org/spreadsheetml/2006/main" count="3957" uniqueCount="915">
  <si>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</si>
  <si>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</si>
  <si>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</si>
  <si>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</si>
  <si>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</si>
  <si>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</si>
  <si>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</si>
  <si>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</si>
  <si>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</si>
  <si>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</si>
  <si>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</si>
  <si>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</si>
  <si>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</si>
  <si>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</si>
  <si>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</si>
  <si>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</si>
  <si>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</si>
  <si>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</si>
  <si>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</si>
  <si>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</si>
  <si>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</si>
  <si>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</si>
  <si>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</si>
  <si>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</si>
  <si>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</si>
  <si>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</si>
  <si>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</si>
  <si>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</si>
  <si>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</si>
  <si>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</si>
  <si>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</si>
  <si>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</si>
  <si>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</si>
  <si>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</si>
  <si>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</si>
  <si>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</si>
  <si>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</si>
  <si>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</si>
  <si>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</si>
  <si>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</si>
  <si>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</si>
  <si>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</si>
  <si>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</si>
  <si>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</si>
  <si>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</si>
  <si>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</si>
  <si>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</si>
  <si>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</si>
  <si>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</si>
  <si>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</si>
  <si>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</si>
  <si>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</si>
  <si>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</si>
  <si>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</si>
  <si>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</si>
  <si>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</si>
  <si>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</si>
  <si>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</si>
  <si>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</si>
  <si>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</si>
  <si>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</si>
  <si>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</si>
  <si>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</si>
  <si>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</si>
  <si>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</si>
  <si>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</si>
  <si>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</si>
  <si>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</si>
  <si>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</si>
  <si>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</si>
  <si>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</si>
  <si>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</si>
  <si>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</si>
  <si>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</si>
  <si>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</si>
  <si>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</si>
  <si>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</si>
  <si>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</si>
  <si>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</si>
  <si>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</si>
  <si>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</si>
  <si>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</si>
  <si>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</si>
  <si>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</si>
  <si>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</si>
  <si>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</si>
  <si>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</si>
  <si>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</si>
  <si>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</si>
  <si>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</si>
  <si>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</si>
  <si>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</si>
  <si>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</si>
  <si>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</si>
  <si>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</si>
  <si>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</si>
  <si>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</si>
  <si>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</si>
  <si>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</si>
  <si>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</si>
  <si>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</si>
  <si>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</si>
  <si>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</si>
  <si>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</si>
  <si>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</si>
  <si>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</si>
  <si>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</si>
  <si>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</si>
  <si>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</si>
  <si>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</si>
  <si>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</si>
  <si>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</si>
  <si>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</si>
  <si>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</si>
  <si>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</si>
  <si>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</si>
  <si>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</si>
  <si>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</si>
  <si>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</si>
  <si>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</si>
  <si>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</si>
  <si>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</si>
  <si>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</si>
  <si>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</si>
  <si>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</si>
  <si>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</si>
  <si>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</si>
  <si>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</si>
  <si>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</si>
  <si>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</si>
  <si>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</si>
  <si>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</si>
  <si>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</si>
  <si>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</si>
  <si>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</si>
  <si>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</si>
  <si>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</si>
  <si>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</si>
  <si>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</si>
  <si>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</si>
  <si>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</si>
  <si>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</si>
  <si>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</si>
  <si>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</si>
  <si>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</si>
  <si>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</si>
  <si>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</si>
  <si>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</si>
  <si>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</si>
  <si>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</si>
  <si>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</si>
  <si>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</si>
  <si>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</si>
  <si>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</si>
  <si>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</si>
  <si>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</si>
  <si>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</si>
  <si>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</si>
  <si>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</si>
  <si>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</si>
  <si>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</si>
  <si>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</si>
  <si>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</si>
  <si>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</si>
  <si>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</si>
  <si>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</si>
  <si>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</si>
  <si>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</si>
  <si>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</si>
  <si>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</si>
  <si>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</si>
  <si>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</si>
  <si>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</si>
  <si>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</si>
  <si>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</si>
  <si>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</si>
  <si>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</si>
  <si>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</si>
  <si>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</si>
  <si>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</si>
  <si>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</si>
  <si>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</si>
  <si>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</si>
  <si>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</si>
  <si>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</si>
  <si>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</si>
  <si>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</si>
  <si>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</si>
  <si>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</si>
  <si>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</si>
  <si>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</si>
  <si>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</si>
  <si>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</si>
  <si>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</si>
  <si>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</si>
  <si>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</si>
  <si>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</si>
  <si>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</si>
  <si>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</si>
  <si>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</si>
  <si>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</si>
  <si>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</si>
  <si>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</si>
  <si>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</si>
  <si>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</si>
  <si>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</si>
  <si>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</si>
  <si>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</si>
  <si>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</si>
  <si>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</si>
  <si>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</si>
  <si>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</si>
  <si>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</si>
  <si>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</si>
  <si>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</si>
  <si>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</si>
  <si>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</si>
  <si>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</si>
  <si>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</si>
  <si>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</si>
  <si>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</si>
  <si>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</si>
  <si>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</si>
  <si>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</si>
  <si>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</si>
  <si>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</si>
  <si>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</si>
  <si>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</si>
  <si>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</si>
  <si>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</si>
  <si>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</si>
  <si>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</si>
  <si>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</si>
  <si>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</si>
  <si>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</si>
  <si>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</si>
  <si>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</si>
  <si>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</si>
  <si>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</si>
  <si>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</si>
  <si>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</si>
  <si>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</si>
  <si>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</si>
  <si>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</si>
  <si>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</si>
  <si>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</si>
  <si>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</si>
  <si>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</si>
  <si>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</si>
  <si>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</si>
  <si>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</si>
  <si>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</si>
  <si>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</si>
  <si>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</si>
  <si>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</si>
  <si>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</si>
  <si>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</si>
  <si>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</si>
  <si>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</si>
  <si>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</si>
  <si>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</si>
  <si>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</si>
  <si>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</si>
  <si>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</si>
  <si>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</si>
  <si>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</si>
  <si>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</si>
  <si>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</si>
  <si>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</si>
  <si>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</si>
  <si>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</si>
  <si>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</si>
  <si>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</si>
  <si>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</si>
  <si>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</si>
  <si>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</si>
  <si>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</si>
  <si>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</si>
  <si>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</si>
  <si>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</si>
  <si>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</si>
  <si>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</si>
  <si>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</si>
  <si>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</si>
  <si>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</si>
  <si>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</si>
  <si>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</si>
  <si>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</si>
  <si>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</si>
  <si>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</si>
  <si>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</si>
  <si>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</si>
  <si>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</si>
  <si>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</si>
  <si>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</si>
  <si>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</si>
  <si>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</si>
  <si>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</si>
  <si>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</si>
  <si>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</si>
  <si>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</si>
  <si>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</si>
  <si>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</si>
  <si>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</si>
  <si>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</si>
  <si>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</si>
  <si>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</si>
  <si>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</si>
  <si>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</si>
  <si>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</si>
  <si>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</si>
  <si>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</si>
  <si>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</si>
  <si>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</si>
  <si>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</si>
  <si>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</si>
  <si>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</si>
  <si>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</si>
  <si>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</si>
  <si>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</si>
  <si>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</si>
  <si>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</si>
  <si>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</si>
  <si>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</si>
  <si>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</si>
  <si>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</si>
  <si>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</si>
  <si>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</si>
  <si>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</si>
  <si>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</si>
  <si>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</si>
  <si>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</si>
  <si>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</si>
  <si>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</si>
  <si>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</si>
  <si>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</si>
  <si>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</si>
  <si>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</si>
  <si>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</si>
  <si>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</si>
  <si>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</si>
  <si>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</si>
  <si>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</si>
  <si>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</si>
  <si>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</si>
  <si>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</si>
  <si>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</si>
  <si>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</si>
  <si>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</si>
  <si>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</si>
  <si>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</si>
  <si>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</si>
  <si>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</si>
  <si>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</si>
  <si>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</si>
  <si>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</si>
  <si>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</si>
  <si>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</si>
  <si>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</si>
  <si>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</si>
  <si>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</si>
  <si>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</si>
  <si>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</si>
  <si>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</si>
  <si>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</si>
  <si>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</si>
  <si>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</si>
  <si>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</si>
  <si>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</si>
  <si>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</si>
  <si>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</si>
  <si>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</si>
  <si>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</si>
  <si>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</si>
  <si>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</si>
  <si>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</si>
  <si>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</si>
  <si>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</si>
  <si>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</si>
  <si>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</si>
  <si>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</si>
  <si>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</si>
  <si>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</si>
  <si>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</si>
  <si>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</si>
  <si>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</si>
  <si>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</si>
  <si>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</si>
  <si>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</si>
  <si>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</si>
  <si>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</si>
  <si>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</si>
  <si>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</si>
  <si>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</si>
  <si>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</si>
  <si>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</si>
  <si>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</si>
  <si>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</si>
  <si>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</si>
  <si>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</si>
  <si>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</si>
  <si>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</si>
  <si>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</si>
  <si>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</si>
  <si>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</si>
  <si>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</si>
  <si>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</si>
  <si>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</si>
  <si>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</si>
  <si>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</si>
  <si>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</si>
  <si>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</si>
  <si>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</si>
  <si>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</si>
  <si>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</si>
  <si>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</si>
  <si>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</si>
  <si>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</si>
  <si>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</si>
  <si>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</si>
  <si>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</si>
  <si>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</si>
  <si>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</si>
  <si>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</si>
  <si>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</si>
  <si>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</si>
  <si>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</si>
  <si>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</si>
  <si>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</si>
  <si>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</si>
  <si>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</si>
  <si>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</si>
  <si>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</si>
  <si>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</si>
  <si>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</si>
  <si>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</si>
  <si>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</si>
  <si>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</si>
  <si>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</si>
  <si>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</si>
  <si>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</si>
  <si>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</si>
  <si>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</si>
  <si>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</si>
  <si>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</si>
  <si>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</si>
  <si>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</si>
  <si>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</si>
  <si>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</si>
  <si>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</si>
  <si>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</si>
  <si>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</si>
  <si>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</si>
  <si>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</si>
  <si>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</si>
  <si>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</si>
  <si>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</si>
  <si>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</si>
  <si>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</si>
  <si>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</si>
  <si>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</si>
  <si>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</si>
  <si>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</si>
  <si>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</si>
  <si>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</si>
  <si>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</si>
  <si>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</si>
  <si>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</si>
  <si>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</si>
  <si>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</si>
  <si>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</si>
  <si>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</si>
  <si>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</si>
  <si>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</si>
  <si>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</si>
  <si>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</si>
  <si>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</si>
  <si>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</si>
  <si>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</si>
  <si>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</si>
  <si>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</si>
  <si>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</si>
  <si>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</si>
  <si>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</si>
  <si>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</si>
  <si>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</si>
  <si>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</si>
  <si>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</si>
  <si>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</si>
  <si>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</si>
  <si>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</si>
  <si>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</si>
  <si>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</si>
  <si>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</si>
  <si>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</si>
  <si>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</si>
  <si>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</si>
  <si>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</si>
  <si>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</si>
  <si>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</si>
  <si>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</si>
  <si>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</si>
  <si>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</si>
  <si>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</si>
  <si>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</si>
  <si>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</si>
  <si>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</si>
  <si>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</si>
  <si>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</si>
  <si>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</si>
  <si>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</si>
  <si>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</si>
  <si>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</si>
  <si>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</si>
  <si>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</si>
  <si>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</si>
  <si>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</si>
  <si>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</si>
  <si>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</si>
  <si>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</si>
  <si>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</si>
  <si>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</si>
  <si>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</si>
  <si>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</si>
  <si>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</si>
  <si>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</si>
  <si>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</si>
  <si>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</si>
  <si>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</si>
  <si>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</si>
  <si>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</si>
  <si>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</si>
  <si>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</si>
  <si>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</si>
  <si>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</si>
  <si>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</si>
  <si>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</si>
  <si>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</si>
  <si>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</si>
  <si>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</si>
  <si>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</si>
  <si>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</si>
  <si>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</si>
  <si>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</si>
  <si>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</si>
  <si>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</si>
  <si>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</si>
  <si>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</si>
  <si>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</si>
  <si>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</si>
  <si>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</si>
  <si>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</si>
  <si>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</si>
  <si>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</si>
  <si>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</si>
  <si>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</si>
  <si>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</si>
  <si>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</si>
  <si>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</si>
  <si>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</si>
  <si>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</si>
  <si>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</si>
  <si>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</si>
  <si>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</si>
  <si>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</si>
  <si>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</si>
  <si>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</si>
  <si>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</si>
  <si>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</si>
  <si>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</si>
  <si>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</si>
  <si>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</si>
  <si>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</si>
  <si>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</si>
  <si>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</si>
  <si>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</si>
  <si>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</si>
  <si>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</si>
  <si>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</si>
  <si>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</si>
  <si>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</si>
  <si>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</si>
  <si>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</si>
  <si>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</si>
  <si>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</si>
  <si>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</si>
  <si>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</si>
  <si>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</si>
  <si>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</si>
  <si>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</si>
  <si>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</si>
  <si>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</si>
  <si>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</si>
  <si>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</si>
  <si>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</si>
  <si>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</si>
  <si>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</si>
  <si>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</si>
  <si>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</si>
  <si>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</si>
  <si>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</si>
  <si>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</si>
  <si>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</si>
  <si>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</si>
  <si>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</si>
  <si>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</si>
  <si>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</si>
  <si>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</si>
  <si>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</si>
  <si>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</si>
  <si>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</si>
  <si>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</si>
  <si>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</si>
  <si>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</si>
  <si>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</si>
  <si>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</si>
  <si>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</si>
  <si>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</si>
  <si>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</si>
  <si>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</si>
  <si>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</si>
  <si>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</si>
  <si>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</si>
  <si>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</si>
  <si>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</si>
  <si>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</si>
  <si>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</si>
  <si>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</si>
  <si>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</si>
  <si>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</si>
  <si>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</si>
  <si>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</si>
  <si>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</si>
  <si>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</si>
  <si>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</si>
  <si>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</si>
  <si>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</si>
  <si>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</si>
  <si>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</si>
  <si>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</si>
  <si>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</si>
  <si>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</si>
  <si>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</si>
  <si>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</si>
  <si>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</si>
  <si>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</si>
  <si>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</si>
  <si>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</si>
  <si>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</si>
  <si>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</si>
  <si>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</si>
  <si>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</si>
  <si>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</si>
  <si>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</si>
  <si>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</si>
  <si>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</si>
  <si>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</si>
  <si>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</si>
  <si>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</si>
  <si>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</si>
  <si>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</si>
  <si>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</si>
  <si>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</si>
  <si>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</si>
  <si>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</si>
  <si>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</si>
  <si>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</si>
  <si>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</si>
  <si>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</si>
  <si>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</si>
  <si>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</si>
  <si>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</si>
  <si>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</si>
  <si>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</si>
  <si>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</si>
  <si>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</si>
  <si>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</si>
  <si>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</si>
  <si>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</si>
  <si>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</si>
  <si>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</si>
  <si>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</si>
  <si>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</si>
  <si>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</si>
  <si>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</si>
  <si>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</si>
  <si>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</si>
  <si>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</si>
  <si>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</si>
  <si>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</si>
  <si>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</si>
  <si>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</si>
  <si>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</si>
  <si>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</si>
  <si>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</si>
  <si>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</si>
  <si>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</si>
  <si>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</si>
  <si>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</si>
  <si>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</si>
  <si>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</si>
  <si>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</si>
  <si>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</si>
  <si>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</si>
  <si>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</si>
  <si>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</si>
  <si>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</si>
  <si>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</si>
  <si>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</si>
  <si>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</si>
  <si>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</si>
  <si>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</si>
  <si>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</si>
  <si>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</si>
  <si>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</si>
  <si>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</si>
  <si>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</si>
  <si>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</si>
  <si>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</si>
  <si>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</si>
  <si>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</si>
  <si>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</si>
  <si>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</si>
  <si>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</si>
  <si>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</si>
  <si>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</si>
  <si>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</si>
  <si>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</si>
  <si>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</si>
  <si>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</si>
  <si>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</si>
  <si>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</si>
  <si>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</si>
  <si>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</si>
  <si>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</si>
  <si>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</si>
  <si>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</si>
  <si>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</si>
  <si>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</si>
  <si>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</si>
  <si>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</si>
  <si>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</si>
  <si>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</si>
  <si>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</si>
  <si>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</si>
  <si>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</si>
  <si>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</si>
  <si>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</si>
  <si>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</si>
  <si>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</si>
  <si>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</si>
  <si>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</si>
  <si>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</si>
  <si>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</si>
  <si>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</si>
  <si>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</si>
  <si>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</si>
  <si>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</si>
  <si>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</si>
  <si>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</si>
  <si>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</si>
  <si>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</si>
  <si>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</si>
  <si>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</si>
  <si>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</si>
  <si>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</si>
  <si>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</si>
  <si>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</si>
  <si>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</si>
  <si>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</si>
  <si>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</si>
  <si>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</si>
  <si>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</si>
  <si>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</si>
  <si>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</si>
  <si>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</si>
  <si>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</si>
  <si>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</si>
  <si>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</si>
  <si>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</si>
  <si>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</si>
  <si>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</si>
  <si>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</si>
  <si>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</si>
  <si>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</si>
  <si>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</si>
  <si>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</si>
  <si>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</si>
  <si>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</si>
  <si>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</si>
  <si>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</si>
  <si>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</si>
  <si>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</si>
  <si>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</si>
  <si>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</si>
  <si>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</si>
  <si>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</si>
  <si>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</si>
  <si>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</si>
  <si>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</si>
  <si>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</si>
  <si>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</si>
  <si>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</si>
  <si>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</si>
  <si>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</si>
  <si>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</si>
  <si>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</si>
  <si>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</si>
  <si>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</si>
  <si>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</si>
  <si>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</si>
  <si>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</si>
  <si>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</si>
  <si>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</si>
  <si>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</si>
  <si>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</si>
  <si>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</si>
  <si>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</si>
  <si>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</si>
  <si>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</si>
  <si>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</si>
  <si>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</si>
  <si>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</si>
  <si>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</si>
  <si>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</si>
  <si>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</si>
  <si>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</si>
  <si>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</si>
  <si>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</si>
  <si>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</si>
  <si>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</si>
  <si>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</si>
  <si>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</si>
  <si>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</si>
  <si>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</si>
  <si>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</si>
  <si>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</si>
  <si>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</si>
  <si>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</si>
  <si>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</si>
  <si>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</si>
  <si>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</si>
  <si>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</si>
  <si>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</si>
  <si>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</si>
  <si>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</si>
  <si>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</si>
  <si>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</si>
  <si>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</si>
  <si>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</si>
  <si>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</si>
  <si>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</si>
  <si>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</si>
  <si>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</si>
  <si>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</si>
  <si>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</si>
  <si>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</si>
  <si>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</si>
  <si>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</si>
  <si>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</si>
  <si>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</si>
  <si>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</si>
  <si>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</si>
  <si>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</si>
  <si>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</si>
  <si>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</si>
  <si>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</si>
  <si>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</si>
  <si>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</si>
  <si>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</si>
  <si>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</si>
  <si>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</si>
  <si>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</si>
  <si>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</si>
  <si>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</si>
  <si>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</si>
  <si>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</si>
  <si>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</si>
  <si>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</si>
  <si>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</si>
  <si>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</si>
  <si>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</si>
  <si>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</si>
  <si>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</si>
  <si>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</si>
  <si>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</si>
  <si>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</si>
  <si>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</si>
  <si>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</si>
  <si>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</si>
  <si>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</si>
  <si>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</si>
  <si>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</si>
  <si>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</si>
  <si>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</si>
  <si>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</si>
  <si>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</si>
  <si>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</si>
  <si>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</si>
  <si>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</si>
  <si>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</si>
  <si>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</si>
  <si>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</si>
  <si>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</si>
  <si>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</si>
  <si>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</si>
  <si>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</si>
  <si>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</si>
  <si>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</si>
  <si>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</si>
  <si>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</si>
  <si>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</si>
  <si>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Hooksett School District</t>
  </si>
  <si>
    <t>05/02</t>
  </si>
  <si>
    <t>07/22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</si>
</sst>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519" activePane="bottomRight" state="frozen"/>
      <selection pane="topRight" activeCell="F1" sqref="F1"/>
      <selection pane="bottomLeft" activeCell="A4" sqref="A4"/>
      <selection pane="bottomRight" activeCell="H541" sqref="H541:H54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261</v>
      </c>
      <c r="C2" s="21">
        <v>261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1130639.1499999999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186046.18</v>
      </c>
      <c r="G12" s="18">
        <v>10584.04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7932.39</v>
      </c>
      <c r="G13" s="18">
        <v>11983.36</v>
      </c>
      <c r="H13" s="18">
        <v>195984.05</v>
      </c>
      <c r="I13" s="18"/>
      <c r="J13" s="67">
        <f>SUM(I442)</f>
        <v>360481.9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366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1324983.7199999997</v>
      </c>
      <c r="G19" s="41">
        <f>SUM(G9:G18)</f>
        <v>22567.4</v>
      </c>
      <c r="H19" s="41">
        <f>SUM(H9:H18)</f>
        <v>195984.05</v>
      </c>
      <c r="I19" s="41">
        <f>SUM(I9:I18)</f>
        <v>0</v>
      </c>
      <c r="J19" s="41">
        <f>SUM(J9:J18)</f>
        <v>360481.9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10584.04</v>
      </c>
      <c r="G22" s="18"/>
      <c r="H22" s="18">
        <v>186046.18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181281.56</v>
      </c>
      <c r="G24" s="18">
        <v>688.45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9921.33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2499.86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12098.37</v>
      </c>
      <c r="H30" s="18">
        <v>9937.8700000000008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204286.78999999998</v>
      </c>
      <c r="G32" s="41">
        <f>SUM(G22:G31)</f>
        <v>12786.820000000002</v>
      </c>
      <c r="H32" s="41">
        <f>SUM(H22:H31)</f>
        <v>195984.05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33182.42</v>
      </c>
      <c r="G48" s="18">
        <v>9780.58</v>
      </c>
      <c r="H48" s="18"/>
      <c r="I48" s="18"/>
      <c r="J48" s="13">
        <f>SUM(I459)</f>
        <v>360481.9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51306.54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996207.97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1120696.93</v>
      </c>
      <c r="G51" s="41">
        <f>SUM(G35:G50)</f>
        <v>9780.58</v>
      </c>
      <c r="H51" s="41">
        <f>SUM(H35:H50)</f>
        <v>0</v>
      </c>
      <c r="I51" s="41">
        <f>SUM(I35:I50)</f>
        <v>0</v>
      </c>
      <c r="J51" s="41">
        <f>SUM(J35:J50)</f>
        <v>360481.9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1324983.72</v>
      </c>
      <c r="G52" s="41">
        <f>G51+G32</f>
        <v>22567.4</v>
      </c>
      <c r="H52" s="41">
        <f>H51+H32</f>
        <v>195984.05</v>
      </c>
      <c r="I52" s="41">
        <f>I51+I32</f>
        <v>0</v>
      </c>
      <c r="J52" s="41">
        <f>J51+J32</f>
        <v>360481.9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20495782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94812.32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20590594.32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10530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5163.45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15693.45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23008.83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23008.83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421.58</v>
      </c>
      <c r="G96" s="18"/>
      <c r="H96" s="18"/>
      <c r="I96" s="18"/>
      <c r="J96" s="18">
        <v>4067.61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385800.07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18782.95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1578.2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21681.040000000001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1354.72</v>
      </c>
      <c r="G110" s="18"/>
      <c r="H110" s="18">
        <v>2000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42240.290000000008</v>
      </c>
      <c r="G111" s="41">
        <f>SUM(G96:G110)</f>
        <v>385800.07</v>
      </c>
      <c r="H111" s="41">
        <f>SUM(H96:H110)</f>
        <v>3578.2</v>
      </c>
      <c r="I111" s="41">
        <f>SUM(I96:I110)</f>
        <v>0</v>
      </c>
      <c r="J111" s="41">
        <f>SUM(J96:J110)</f>
        <v>4067.61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20671536.889999997</v>
      </c>
      <c r="G112" s="41">
        <f>G60+G111</f>
        <v>385800.07</v>
      </c>
      <c r="H112" s="41">
        <f>H60+H79+H94+H111</f>
        <v>3578.2</v>
      </c>
      <c r="I112" s="41">
        <f>I60+I111</f>
        <v>0</v>
      </c>
      <c r="J112" s="41">
        <f>J60+J111</f>
        <v>4067.61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3872340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3815350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1881.98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7689571.9800000004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330172.48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312290.94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8238.1299999999992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642463.41999999993</v>
      </c>
      <c r="G136" s="41">
        <f>SUM(G123:G135)</f>
        <v>8238.1299999999992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8332035.4000000004</v>
      </c>
      <c r="G140" s="41">
        <f>G121+SUM(G136:G137)</f>
        <v>8238.1299999999992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120610.38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37363.78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220261.1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318167.81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222585.53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222585.53</v>
      </c>
      <c r="G162" s="41">
        <f>SUM(G150:G161)</f>
        <v>220261.1</v>
      </c>
      <c r="H162" s="41">
        <f>SUM(H150:H161)</f>
        <v>476141.97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>
        <v>2166.75</v>
      </c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222585.53</v>
      </c>
      <c r="G169" s="41">
        <f>G147+G162+SUM(G163:G168)</f>
        <v>220261.1</v>
      </c>
      <c r="H169" s="41">
        <f>H147+H162+SUM(H163:H168)</f>
        <v>478308.72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>
        <v>0</v>
      </c>
      <c r="J179" s="18">
        <v>95500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95500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95500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29226157.82</v>
      </c>
      <c r="G193" s="47">
        <f>G112+G140+G169+G192</f>
        <v>614299.30000000005</v>
      </c>
      <c r="H193" s="47">
        <f>H112+H140+H169+H192</f>
        <v>481886.92</v>
      </c>
      <c r="I193" s="47">
        <f>I112+I140+I169+I192</f>
        <v>0</v>
      </c>
      <c r="J193" s="47">
        <f>J112+J140+J192</f>
        <v>99567.61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2887264.43+56686.27</f>
        <v>2943950.7</v>
      </c>
      <c r="G197" s="18">
        <f>1635394.03+62283.83</f>
        <v>1697677.86</v>
      </c>
      <c r="H197" s="18">
        <f>2112.19+37077.09</f>
        <v>39189.279999999999</v>
      </c>
      <c r="I197" s="18">
        <f>102188.58</f>
        <v>102188.58</v>
      </c>
      <c r="J197" s="18">
        <f>9145.07</f>
        <v>9145.07</v>
      </c>
      <c r="K197" s="18">
        <f>148.2</f>
        <v>148.19999999999999</v>
      </c>
      <c r="L197" s="19">
        <f>SUM(F197:K197)</f>
        <v>4792299.6900000013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540706.13+54292.27+91566+63799+87610.08</f>
        <v>837973.48</v>
      </c>
      <c r="G198" s="18">
        <f>326783.56+7471.41+56827.86+34383.12+50532.87</f>
        <v>475998.81999999995</v>
      </c>
      <c r="H198" s="18">
        <f>93178.77+166493.94+2913.33+2687.95+42906.09</f>
        <v>308180.08000000007</v>
      </c>
      <c r="I198" s="18">
        <f>594.62+224.57+226.49+705.15</f>
        <v>1750.83</v>
      </c>
      <c r="J198" s="18">
        <f>1671.03+2943.88</f>
        <v>4614.91</v>
      </c>
      <c r="K198" s="18">
        <f>1149+926</f>
        <v>2075</v>
      </c>
      <c r="L198" s="19">
        <f>SUM(F198:K198)</f>
        <v>1630593.1199999999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6300+1125</f>
        <v>7425</v>
      </c>
      <c r="G200" s="18">
        <f>1158.85+262.29</f>
        <v>1421.1399999999999</v>
      </c>
      <c r="H200" s="18">
        <f>125.07</f>
        <v>125.07</v>
      </c>
      <c r="I200" s="18">
        <f>915.97+472.69</f>
        <v>1388.66</v>
      </c>
      <c r="J200" s="18"/>
      <c r="K200" s="18"/>
      <c r="L200" s="19">
        <f>SUM(F200:K200)</f>
        <v>10359.869999999999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134959.88+98672.89+278918.85+41584.43</f>
        <v>554136.05000000005</v>
      </c>
      <c r="G202" s="18">
        <f>53175.24+47667.9+162618.11+22185.8</f>
        <v>285647.05</v>
      </c>
      <c r="H202" s="18">
        <f>15977.89+48903.18+266+270+500+105109.24+51966.67</f>
        <v>222992.97999999998</v>
      </c>
      <c r="I202" s="18">
        <f>380.04+3209.02+988.74+1715.96+1196.45</f>
        <v>7490.21</v>
      </c>
      <c r="J202" s="18">
        <f>279.8+4716</f>
        <v>4995.8</v>
      </c>
      <c r="K202" s="18">
        <f>3238.56</f>
        <v>3238.56</v>
      </c>
      <c r="L202" s="19">
        <f t="shared" ref="L202:L208" si="0">SUM(F202:K202)</f>
        <v>1078500.6500000001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153313.8+50391.53</f>
        <v>203705.33</v>
      </c>
      <c r="G203" s="18">
        <f>1257+93876.34+739.05+33451.76</f>
        <v>129324.15</v>
      </c>
      <c r="H203" s="18">
        <f>4317.24+84534.62+7090.43</f>
        <v>95942.290000000008</v>
      </c>
      <c r="I203" s="18">
        <f>23093.03+248.46</f>
        <v>23341.489999999998</v>
      </c>
      <c r="J203" s="18">
        <f>6595.67</f>
        <v>6595.67</v>
      </c>
      <c r="K203" s="18">
        <f>480</f>
        <v>480</v>
      </c>
      <c r="L203" s="19">
        <f t="shared" si="0"/>
        <v>459388.93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13633.75</f>
        <v>13633.75</v>
      </c>
      <c r="G204" s="18">
        <f>1082.02</f>
        <v>1082.02</v>
      </c>
      <c r="H204" s="18">
        <f>63138.86+380930.55</f>
        <v>444069.41</v>
      </c>
      <c r="I204" s="18">
        <f>3855.99</f>
        <v>3855.99</v>
      </c>
      <c r="J204" s="18"/>
      <c r="K204" s="18">
        <f>3885.54</f>
        <v>3885.54</v>
      </c>
      <c r="L204" s="19">
        <f t="shared" si="0"/>
        <v>466526.70999999996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456847.97</f>
        <v>456847.97</v>
      </c>
      <c r="G205" s="18">
        <f>287822.9</f>
        <v>287822.90000000002</v>
      </c>
      <c r="H205" s="18">
        <f>9102.89+18672.63+644.34</f>
        <v>28419.86</v>
      </c>
      <c r="I205" s="18">
        <f>5680.81</f>
        <v>5680.81</v>
      </c>
      <c r="J205" s="18">
        <f>1670.49</f>
        <v>1670.49</v>
      </c>
      <c r="K205" s="18">
        <f>2740</f>
        <v>2740</v>
      </c>
      <c r="L205" s="19">
        <f t="shared" si="0"/>
        <v>783182.03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250246.42+43929.66</f>
        <v>294176.08</v>
      </c>
      <c r="G207" s="18">
        <f>155849.94+26691.71</f>
        <v>182541.65</v>
      </c>
      <c r="H207" s="18">
        <f>99727.04+1720.77+40703</f>
        <v>142150.81</v>
      </c>
      <c r="I207" s="18">
        <f>242955.26+173.36</f>
        <v>243128.62</v>
      </c>
      <c r="J207" s="18">
        <f>2677.98+2418</f>
        <v>5095.9799999999996</v>
      </c>
      <c r="K207" s="18"/>
      <c r="L207" s="19">
        <f t="shared" si="0"/>
        <v>867093.14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6817.05+681360.24</f>
        <v>688177.29</v>
      </c>
      <c r="I208" s="18"/>
      <c r="J208" s="18"/>
      <c r="K208" s="18"/>
      <c r="L208" s="19">
        <f t="shared" si="0"/>
        <v>688177.29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56494.86+52512.84</f>
        <v>109007.7</v>
      </c>
      <c r="G209" s="18">
        <f>9499.29+29849.33</f>
        <v>39348.620000000003</v>
      </c>
      <c r="H209" s="18">
        <f>5169.18+2173.93+1043.25</f>
        <v>8386.36</v>
      </c>
      <c r="I209" s="18">
        <f>3973.51+11822.92</f>
        <v>15796.43</v>
      </c>
      <c r="J209" s="18">
        <f>60788.2</f>
        <v>60788.2</v>
      </c>
      <c r="K209" s="18"/>
      <c r="L209" s="19">
        <f>SUM(F209:K209)</f>
        <v>233327.31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5420856.0600000005</v>
      </c>
      <c r="G211" s="41">
        <f t="shared" si="1"/>
        <v>3100864.21</v>
      </c>
      <c r="H211" s="41">
        <f t="shared" si="1"/>
        <v>1977633.4300000004</v>
      </c>
      <c r="I211" s="41">
        <f t="shared" si="1"/>
        <v>404621.62</v>
      </c>
      <c r="J211" s="41">
        <f t="shared" si="1"/>
        <v>92906.12</v>
      </c>
      <c r="K211" s="41">
        <f t="shared" si="1"/>
        <v>12567.3</v>
      </c>
      <c r="L211" s="41">
        <f t="shared" si="1"/>
        <v>11009448.740000004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2016011.42+30523.37</f>
        <v>2046534.79</v>
      </c>
      <c r="G215" s="18">
        <f>1078800.04+33537.45</f>
        <v>1112337.49</v>
      </c>
      <c r="H215" s="18">
        <f>1800+21650.75</f>
        <v>23450.75</v>
      </c>
      <c r="I215" s="18">
        <f>34555.92</f>
        <v>34555.919999999998</v>
      </c>
      <c r="J215" s="18">
        <f>2445.36</f>
        <v>2445.36</v>
      </c>
      <c r="K215" s="18">
        <f>79.8</f>
        <v>79.8</v>
      </c>
      <c r="L215" s="19">
        <f>SUM(F215:K215)</f>
        <v>3219404.11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365799.91+3438.75+30982.08+60033+40154.62</f>
        <v>500408.36</v>
      </c>
      <c r="G216" s="18">
        <f>227003.33+783.56+2559.9+33489.83+23160.9</f>
        <v>286997.52</v>
      </c>
      <c r="H216" s="18">
        <f>167200.65+5482.32+89650.59+1568.71+1447.36+23103.28</f>
        <v>288452.91000000003</v>
      </c>
      <c r="I216" s="18">
        <f>554.21+1022.46+379.7</f>
        <v>1956.3700000000001</v>
      </c>
      <c r="J216" s="18">
        <f>1585.17</f>
        <v>1585.17</v>
      </c>
      <c r="K216" s="18"/>
      <c r="L216" s="19">
        <f>SUM(F216:K216)</f>
        <v>1079400.33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26303+23924+8525</f>
        <v>58752</v>
      </c>
      <c r="G218" s="18">
        <f>6260.62+4134.22+1512.75</f>
        <v>11907.59</v>
      </c>
      <c r="H218" s="18">
        <f>547.21+8027.6</f>
        <v>8574.8100000000013</v>
      </c>
      <c r="I218" s="18">
        <f>3118.13+1412.41+2025.72</f>
        <v>6556.26</v>
      </c>
      <c r="J218" s="18">
        <f>489.86+4535.91</f>
        <v>5025.7699999999995</v>
      </c>
      <c r="K218" s="18">
        <f>1361+510</f>
        <v>1871</v>
      </c>
      <c r="L218" s="19">
        <f>SUM(F218:K218)</f>
        <v>92687.43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120002.13+47612+74533+22391.62</f>
        <v>264538.75</v>
      </c>
      <c r="G220" s="18">
        <f>63981.52+22667.05+44034.88+215.12+397.95+11946.2</f>
        <v>143242.72</v>
      </c>
      <c r="H220" s="18">
        <f>6250+200+138+5850+696+56597.28+45518.64+27982.06</f>
        <v>143231.98000000001</v>
      </c>
      <c r="I220" s="18">
        <f>1833.06+3313.16+1204.15+2255.92</f>
        <v>8606.2899999999991</v>
      </c>
      <c r="J220" s="18">
        <f>174</f>
        <v>174</v>
      </c>
      <c r="K220" s="18">
        <f>1743.84</f>
        <v>1743.84</v>
      </c>
      <c r="L220" s="19">
        <f t="shared" ref="L220:L226" si="2">SUM(F220:K220)</f>
        <v>561537.57999999996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21259.8+27133.9</f>
        <v>48393.7</v>
      </c>
      <c r="G221" s="18">
        <f>2880.88+6769.34+18012.49</f>
        <v>27662.710000000003</v>
      </c>
      <c r="H221" s="18">
        <f>2011.25+3817.93</f>
        <v>5829.18</v>
      </c>
      <c r="I221" s="18">
        <f>285.45+13885.94+133.79</f>
        <v>14305.180000000002</v>
      </c>
      <c r="J221" s="18">
        <f>6358.94</f>
        <v>6358.94</v>
      </c>
      <c r="K221" s="18">
        <f>291.51</f>
        <v>291.51</v>
      </c>
      <c r="L221" s="19">
        <f t="shared" si="2"/>
        <v>102841.22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7341.25</f>
        <v>7341.25</v>
      </c>
      <c r="G222" s="18">
        <f>582.63</f>
        <v>582.63</v>
      </c>
      <c r="H222" s="18">
        <f>33997.85+205116.45</f>
        <v>239114.30000000002</v>
      </c>
      <c r="I222" s="18">
        <f>2076.3</f>
        <v>2076.3000000000002</v>
      </c>
      <c r="J222" s="18"/>
      <c r="K222" s="18">
        <f>2092.21</f>
        <v>2092.21</v>
      </c>
      <c r="L222" s="19">
        <f t="shared" si="2"/>
        <v>251206.69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218957.82</f>
        <v>218957.82</v>
      </c>
      <c r="G223" s="18">
        <f>132435.74</f>
        <v>132435.74</v>
      </c>
      <c r="H223" s="18">
        <f>6207.46+14722.69+346.91</f>
        <v>21277.06</v>
      </c>
      <c r="I223" s="18">
        <f>1561.74</f>
        <v>1561.74</v>
      </c>
      <c r="J223" s="18">
        <f>1913.67</f>
        <v>1913.67</v>
      </c>
      <c r="K223" s="18">
        <f>2133</f>
        <v>2133</v>
      </c>
      <c r="L223" s="19">
        <f t="shared" si="2"/>
        <v>378279.02999999997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178730.1+23654.43</f>
        <v>202384.53</v>
      </c>
      <c r="G225" s="18">
        <f>114373.56+14372.46</f>
        <v>128746.01999999999</v>
      </c>
      <c r="H225" s="18">
        <f>146669.17+926.57+21917</f>
        <v>169512.74000000002</v>
      </c>
      <c r="I225" s="18">
        <f>201124.38+93.35</f>
        <v>201217.73</v>
      </c>
      <c r="J225" s="18">
        <f>2212.74+1302</f>
        <v>3514.74</v>
      </c>
      <c r="K225" s="18"/>
      <c r="L225" s="19">
        <f t="shared" si="2"/>
        <v>705375.76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19888.23+359609.58</f>
        <v>379497.81</v>
      </c>
      <c r="I226" s="18"/>
      <c r="J226" s="18"/>
      <c r="K226" s="18"/>
      <c r="L226" s="19">
        <f t="shared" si="2"/>
        <v>379497.81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28276.15</f>
        <v>28276.15</v>
      </c>
      <c r="G227" s="18">
        <f>16072.72</f>
        <v>16072.72</v>
      </c>
      <c r="H227" s="18">
        <f>2783.4+1170.58+561.75</f>
        <v>4515.7299999999996</v>
      </c>
      <c r="I227" s="18">
        <f>8781.04+6366.19</f>
        <v>15147.23</v>
      </c>
      <c r="J227" s="18">
        <f>4826+32732.11</f>
        <v>37558.11</v>
      </c>
      <c r="K227" s="18"/>
      <c r="L227" s="19">
        <f>SUM(F227:K227)</f>
        <v>101569.94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3375587.3499999996</v>
      </c>
      <c r="G229" s="41">
        <f>SUM(G215:G228)</f>
        <v>1859985.14</v>
      </c>
      <c r="H229" s="41">
        <f>SUM(H215:H228)</f>
        <v>1283457.27</v>
      </c>
      <c r="I229" s="41">
        <f>SUM(I215:I228)</f>
        <v>285983.02</v>
      </c>
      <c r="J229" s="41">
        <f>SUM(J215:J228)</f>
        <v>58575.759999999995</v>
      </c>
      <c r="K229" s="41">
        <f t="shared" si="3"/>
        <v>8211.36</v>
      </c>
      <c r="L229" s="41">
        <f t="shared" si="3"/>
        <v>6871799.8999999994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6126911.65</f>
        <v>6126911.6500000004</v>
      </c>
      <c r="I233" s="18"/>
      <c r="J233" s="18"/>
      <c r="K233" s="18"/>
      <c r="L233" s="19">
        <f>SUM(F233:K233)</f>
        <v>6126911.6500000004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215736.35+54756.3</f>
        <v>270492.65000000002</v>
      </c>
      <c r="G234" s="18">
        <f>181020.78+31583.04</f>
        <v>212603.82</v>
      </c>
      <c r="H234" s="18">
        <f>2315474.55+130989.04</f>
        <v>2446463.59</v>
      </c>
      <c r="I234" s="18"/>
      <c r="J234" s="18"/>
      <c r="K234" s="18"/>
      <c r="L234" s="19">
        <f>SUM(F234:K234)</f>
        <v>2929560.06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378533.32</f>
        <v>378533.32</v>
      </c>
      <c r="I244" s="18"/>
      <c r="J244" s="18"/>
      <c r="K244" s="18"/>
      <c r="L244" s="19">
        <f t="shared" si="4"/>
        <v>378533.32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270492.65000000002</v>
      </c>
      <c r="G247" s="41">
        <f t="shared" si="5"/>
        <v>212603.82</v>
      </c>
      <c r="H247" s="41">
        <f t="shared" si="5"/>
        <v>8951908.5600000005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9435005.0300000012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13164</f>
        <v>13164</v>
      </c>
      <c r="I255" s="18"/>
      <c r="J255" s="18"/>
      <c r="K255" s="18"/>
      <c r="L255" s="19">
        <f t="shared" si="6"/>
        <v>13164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13164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13164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9066936.0600000005</v>
      </c>
      <c r="G257" s="41">
        <f t="shared" si="8"/>
        <v>5173453.17</v>
      </c>
      <c r="H257" s="41">
        <f t="shared" si="8"/>
        <v>12226163.260000002</v>
      </c>
      <c r="I257" s="41">
        <f t="shared" si="8"/>
        <v>690604.64</v>
      </c>
      <c r="J257" s="41">
        <f t="shared" si="8"/>
        <v>151481.88</v>
      </c>
      <c r="K257" s="41">
        <f t="shared" si="8"/>
        <v>20778.66</v>
      </c>
      <c r="L257" s="41">
        <f t="shared" si="8"/>
        <v>27329417.670000006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1035000</v>
      </c>
      <c r="L260" s="19">
        <f>SUM(F260:K260)</f>
        <v>1035000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385055</v>
      </c>
      <c r="L261" s="19">
        <f>SUM(F261:K261)</f>
        <v>385055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95500</v>
      </c>
      <c r="L266" s="19">
        <f t="shared" si="9"/>
        <v>95500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21051.79</v>
      </c>
      <c r="L268" s="19">
        <f t="shared" si="9"/>
        <v>21051.79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1536606.79</v>
      </c>
      <c r="L270" s="41">
        <f t="shared" si="9"/>
        <v>1536606.79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9066936.0600000005</v>
      </c>
      <c r="G271" s="42">
        <f t="shared" si="11"/>
        <v>5173453.17</v>
      </c>
      <c r="H271" s="42">
        <f t="shared" si="11"/>
        <v>12226163.260000002</v>
      </c>
      <c r="I271" s="42">
        <f t="shared" si="11"/>
        <v>690604.64</v>
      </c>
      <c r="J271" s="42">
        <f t="shared" si="11"/>
        <v>151481.88</v>
      </c>
      <c r="K271" s="42">
        <f t="shared" si="11"/>
        <v>1557385.45</v>
      </c>
      <c r="L271" s="42">
        <f t="shared" si="11"/>
        <v>28866024.460000005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95519.01</f>
        <v>95519.01</v>
      </c>
      <c r="G276" s="18">
        <f>16245.58</f>
        <v>16245.58</v>
      </c>
      <c r="H276" s="18"/>
      <c r="I276" s="18">
        <f>7340.01</f>
        <v>7340.01</v>
      </c>
      <c r="J276" s="18"/>
      <c r="K276" s="18"/>
      <c r="L276" s="19">
        <f>SUM(F276:K276)</f>
        <v>119104.59999999999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93934.53</f>
        <v>93934.53</v>
      </c>
      <c r="G277" s="18">
        <f>14443.6</f>
        <v>14443.6</v>
      </c>
      <c r="H277" s="18">
        <f>46374.61</f>
        <v>46374.61</v>
      </c>
      <c r="I277" s="18">
        <f>3105</f>
        <v>3105</v>
      </c>
      <c r="J277" s="18">
        <f>1970.8</f>
        <v>1970.8</v>
      </c>
      <c r="K277" s="18"/>
      <c r="L277" s="19">
        <f>SUM(F277:K277)</f>
        <v>159828.53999999998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1300</f>
        <v>1300</v>
      </c>
      <c r="G279" s="18"/>
      <c r="H279" s="18">
        <v>2000</v>
      </c>
      <c r="I279" s="18"/>
      <c r="J279" s="18"/>
      <c r="K279" s="18"/>
      <c r="L279" s="19">
        <f>SUM(F279:K279)</f>
        <v>3300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33697.96</v>
      </c>
      <c r="G281" s="18">
        <f>7634.91</f>
        <v>7634.91</v>
      </c>
      <c r="H281" s="18">
        <f>19018.13</f>
        <v>19018.13</v>
      </c>
      <c r="I281" s="18"/>
      <c r="J281" s="18"/>
      <c r="K281" s="18"/>
      <c r="L281" s="19">
        <f t="shared" ref="L281:L287" si="12">SUM(F281:K281)</f>
        <v>60351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2440.13</f>
        <v>2440.13</v>
      </c>
      <c r="G282" s="18">
        <f>543.97</f>
        <v>543.97</v>
      </c>
      <c r="H282" s="18">
        <f>17009.66+224.47</f>
        <v>17234.13</v>
      </c>
      <c r="I282" s="18">
        <f>2019.54</f>
        <v>2019.54</v>
      </c>
      <c r="J282" s="18"/>
      <c r="K282" s="18"/>
      <c r="L282" s="19">
        <f t="shared" si="12"/>
        <v>22237.770000000004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f>5234.93</f>
        <v>5234.93</v>
      </c>
      <c r="L285" s="19">
        <f t="shared" si="12"/>
        <v>5234.93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f>509.44</f>
        <v>509.44</v>
      </c>
      <c r="I288" s="18"/>
      <c r="J288" s="18"/>
      <c r="K288" s="18"/>
      <c r="L288" s="19">
        <f>SUM(F288:K288)</f>
        <v>509.44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226891.62999999998</v>
      </c>
      <c r="G290" s="42">
        <f t="shared" si="13"/>
        <v>38868.06</v>
      </c>
      <c r="H290" s="42">
        <f t="shared" si="13"/>
        <v>85136.310000000012</v>
      </c>
      <c r="I290" s="42">
        <f t="shared" si="13"/>
        <v>12464.55</v>
      </c>
      <c r="J290" s="42">
        <f t="shared" si="13"/>
        <v>1970.8</v>
      </c>
      <c r="K290" s="42">
        <f t="shared" si="13"/>
        <v>5234.93</v>
      </c>
      <c r="L290" s="41">
        <f t="shared" si="13"/>
        <v>370566.27999999997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42202.47</f>
        <v>42202.47</v>
      </c>
      <c r="G296" s="18">
        <f>6489.15</f>
        <v>6489.15</v>
      </c>
      <c r="H296" s="18">
        <f>18588.6</f>
        <v>18588.599999999999</v>
      </c>
      <c r="I296" s="18">
        <f>1395</f>
        <v>1395</v>
      </c>
      <c r="J296" s="18">
        <f>1061.2</f>
        <v>1061.2</v>
      </c>
      <c r="K296" s="18"/>
      <c r="L296" s="19">
        <f>SUM(F296:K296)</f>
        <v>69736.42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f>700</f>
        <v>700</v>
      </c>
      <c r="G298" s="18"/>
      <c r="H298" s="18"/>
      <c r="I298" s="18"/>
      <c r="J298" s="18"/>
      <c r="K298" s="18"/>
      <c r="L298" s="19">
        <f>SUM(F298:K298)</f>
        <v>700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15139.66</f>
        <v>15139.66</v>
      </c>
      <c r="G300" s="18">
        <f>3430.17</f>
        <v>3430.17</v>
      </c>
      <c r="H300" s="18">
        <f>8544.37</f>
        <v>8544.3700000000008</v>
      </c>
      <c r="I300" s="18"/>
      <c r="J300" s="18"/>
      <c r="K300" s="18"/>
      <c r="L300" s="19">
        <f t="shared" ref="L300:L306" si="14">SUM(F300:K300)</f>
        <v>27114.200000000004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1313.92</f>
        <v>1313.92</v>
      </c>
      <c r="G301" s="18">
        <f>292.9</f>
        <v>292.89999999999998</v>
      </c>
      <c r="H301" s="18">
        <f>9159.05+120.87</f>
        <v>9279.92</v>
      </c>
      <c r="I301" s="18">
        <f>1087.45</f>
        <v>1087.45</v>
      </c>
      <c r="J301" s="18"/>
      <c r="K301" s="18"/>
      <c r="L301" s="19">
        <f t="shared" si="14"/>
        <v>11974.19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f>1521.52</f>
        <v>1521.52</v>
      </c>
      <c r="L304" s="19">
        <f t="shared" si="14"/>
        <v>1521.52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>
        <f>274.31</f>
        <v>274.31</v>
      </c>
      <c r="I307" s="18"/>
      <c r="J307" s="18"/>
      <c r="K307" s="18"/>
      <c r="L307" s="19">
        <f>SUM(F307:K307)</f>
        <v>274.31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59356.05</v>
      </c>
      <c r="G309" s="42">
        <f t="shared" si="15"/>
        <v>10212.219999999999</v>
      </c>
      <c r="H309" s="42">
        <f t="shared" si="15"/>
        <v>36687.199999999997</v>
      </c>
      <c r="I309" s="42">
        <f t="shared" si="15"/>
        <v>2482.4499999999998</v>
      </c>
      <c r="J309" s="42">
        <f t="shared" si="15"/>
        <v>1061.2</v>
      </c>
      <c r="K309" s="42">
        <f t="shared" si="15"/>
        <v>1521.52</v>
      </c>
      <c r="L309" s="41">
        <f t="shared" si="15"/>
        <v>111320.64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286247.67999999999</v>
      </c>
      <c r="G338" s="41">
        <f t="shared" si="20"/>
        <v>49080.28</v>
      </c>
      <c r="H338" s="41">
        <f t="shared" si="20"/>
        <v>121823.51000000001</v>
      </c>
      <c r="I338" s="41">
        <f t="shared" si="20"/>
        <v>14947</v>
      </c>
      <c r="J338" s="41">
        <f t="shared" si="20"/>
        <v>3032</v>
      </c>
      <c r="K338" s="41">
        <f t="shared" si="20"/>
        <v>6756.4500000000007</v>
      </c>
      <c r="L338" s="41">
        <f t="shared" si="20"/>
        <v>481886.92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286247.67999999999</v>
      </c>
      <c r="G352" s="41">
        <f>G338</f>
        <v>49080.28</v>
      </c>
      <c r="H352" s="41">
        <f>H338</f>
        <v>121823.51000000001</v>
      </c>
      <c r="I352" s="41">
        <f>I338</f>
        <v>14947</v>
      </c>
      <c r="J352" s="41">
        <f>J338</f>
        <v>3032</v>
      </c>
      <c r="K352" s="47">
        <f>K338+K351</f>
        <v>6756.4500000000007</v>
      </c>
      <c r="L352" s="41">
        <f>L338+L351</f>
        <v>481886.92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115544.96+29835</f>
        <v>145379.96000000002</v>
      </c>
      <c r="G358" s="18">
        <f>64808.69+22397.09</f>
        <v>87205.78</v>
      </c>
      <c r="H358" s="18">
        <f>3056.32+64.98</f>
        <v>3121.3</v>
      </c>
      <c r="I358" s="18">
        <v>169780.48000000001</v>
      </c>
      <c r="J358" s="18"/>
      <c r="K358" s="18">
        <f>292.5</f>
        <v>292.5</v>
      </c>
      <c r="L358" s="13">
        <f>SUM(F358:K358)</f>
        <v>405780.02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67085.81+16065</f>
        <v>83150.81</v>
      </c>
      <c r="G359" s="18">
        <f>11530.3+12059.97</f>
        <v>23590.269999999997</v>
      </c>
      <c r="H359" s="18">
        <f>419.86</f>
        <v>419.86</v>
      </c>
      <c r="I359" s="18">
        <v>91420.26</v>
      </c>
      <c r="J359" s="18"/>
      <c r="K359" s="18">
        <f>157.5</f>
        <v>157.5</v>
      </c>
      <c r="L359" s="19">
        <f>SUM(F359:K359)</f>
        <v>198738.69999999998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228530.77000000002</v>
      </c>
      <c r="G362" s="47">
        <f t="shared" si="22"/>
        <v>110796.04999999999</v>
      </c>
      <c r="H362" s="47">
        <f t="shared" si="22"/>
        <v>3541.1600000000003</v>
      </c>
      <c r="I362" s="47">
        <f t="shared" si="22"/>
        <v>261200.74</v>
      </c>
      <c r="J362" s="47">
        <f t="shared" si="22"/>
        <v>0</v>
      </c>
      <c r="K362" s="47">
        <f t="shared" si="22"/>
        <v>450</v>
      </c>
      <c r="L362" s="47">
        <f t="shared" si="22"/>
        <v>604518.72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129104.55</f>
        <v>129104.55</v>
      </c>
      <c r="G367" s="18">
        <f>69517.84</f>
        <v>69517.84</v>
      </c>
      <c r="H367" s="18"/>
      <c r="I367" s="56">
        <f>SUM(F367:H367)</f>
        <v>198622.39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40675.93</v>
      </c>
      <c r="G368" s="63">
        <v>21902.42</v>
      </c>
      <c r="H368" s="63"/>
      <c r="I368" s="56">
        <f>SUM(F368:H368)</f>
        <v>62578.35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169780.48000000001</v>
      </c>
      <c r="G369" s="47">
        <f>SUM(G367:G368)</f>
        <v>91420.26</v>
      </c>
      <c r="H369" s="47">
        <f>SUM(H367:H368)</f>
        <v>0</v>
      </c>
      <c r="I369" s="47">
        <f>SUM(I367:I368)</f>
        <v>261200.74000000002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95500</v>
      </c>
      <c r="H388" s="18">
        <v>1258.71</v>
      </c>
      <c r="I388" s="18"/>
      <c r="J388" s="24" t="s">
        <v>289</v>
      </c>
      <c r="K388" s="24" t="s">
        <v>289</v>
      </c>
      <c r="L388" s="56">
        <f t="shared" si="25"/>
        <v>96758.71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95500</v>
      </c>
      <c r="H393" s="139">
        <f>SUM(H387:H392)</f>
        <v>1258.71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96758.71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2793.04</v>
      </c>
      <c r="I397" s="18"/>
      <c r="J397" s="24" t="s">
        <v>289</v>
      </c>
      <c r="K397" s="24" t="s">
        <v>289</v>
      </c>
      <c r="L397" s="56">
        <f t="shared" si="26"/>
        <v>2793.04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15.86</v>
      </c>
      <c r="I399" s="18"/>
      <c r="J399" s="24" t="s">
        <v>289</v>
      </c>
      <c r="K399" s="24" t="s">
        <v>289</v>
      </c>
      <c r="L399" s="56">
        <f t="shared" si="26"/>
        <v>15.86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2808.9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2808.9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95500</v>
      </c>
      <c r="H408" s="47">
        <f>H393+H401+H407</f>
        <v>4067.61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99567.61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136902.85999999999</v>
      </c>
      <c r="G442" s="18">
        <v>223579.04</v>
      </c>
      <c r="H442" s="18"/>
      <c r="I442" s="56">
        <f t="shared" si="33"/>
        <v>360481.9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136902.85999999999</v>
      </c>
      <c r="G446" s="13">
        <f>SUM(G439:G445)</f>
        <v>223579.04</v>
      </c>
      <c r="H446" s="13">
        <f>SUM(H439:H445)</f>
        <v>0</v>
      </c>
      <c r="I446" s="13">
        <f>SUM(I439:I445)</f>
        <v>360481.9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136902.85999999999</v>
      </c>
      <c r="G459" s="18">
        <v>223579.04</v>
      </c>
      <c r="H459" s="18"/>
      <c r="I459" s="56">
        <f t="shared" si="34"/>
        <v>360481.9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136902.85999999999</v>
      </c>
      <c r="G460" s="83">
        <f>SUM(G454:G459)</f>
        <v>223579.04</v>
      </c>
      <c r="H460" s="83">
        <f>SUM(H454:H459)</f>
        <v>0</v>
      </c>
      <c r="I460" s="83">
        <f>SUM(I454:I459)</f>
        <v>360481.9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136902.85999999999</v>
      </c>
      <c r="G461" s="42">
        <f>G452+G460</f>
        <v>223579.04</v>
      </c>
      <c r="H461" s="42">
        <f>H452+H460</f>
        <v>0</v>
      </c>
      <c r="I461" s="42">
        <f>I452+I460</f>
        <v>360481.9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760563.57</v>
      </c>
      <c r="G465" s="18"/>
      <c r="H465" s="18"/>
      <c r="I465" s="18"/>
      <c r="J465" s="18">
        <v>260914.29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29226157.82</v>
      </c>
      <c r="G468" s="18">
        <v>614299.30000000005</v>
      </c>
      <c r="H468" s="18">
        <v>481886.92</v>
      </c>
      <c r="I468" s="18"/>
      <c r="J468" s="18">
        <v>99567.61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29226157.82</v>
      </c>
      <c r="G470" s="53">
        <f>SUM(G468:G469)</f>
        <v>614299.30000000005</v>
      </c>
      <c r="H470" s="53">
        <f>SUM(H468:H469)</f>
        <v>481886.92</v>
      </c>
      <c r="I470" s="53">
        <f>SUM(I468:I469)</f>
        <v>0</v>
      </c>
      <c r="J470" s="53">
        <f>SUM(J468:J469)</f>
        <v>99567.61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28866024.460000001</v>
      </c>
      <c r="G472" s="18">
        <v>604518.72</v>
      </c>
      <c r="H472" s="18">
        <v>481886.92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28866024.460000001</v>
      </c>
      <c r="G474" s="53">
        <f>SUM(G472:G473)</f>
        <v>604518.72</v>
      </c>
      <c r="H474" s="53">
        <f>SUM(H472:H473)</f>
        <v>481886.92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1120696.9299999997</v>
      </c>
      <c r="G476" s="53">
        <f>(G465+G470)- G474</f>
        <v>9780.5800000000745</v>
      </c>
      <c r="H476" s="53">
        <f>(H465+H470)- H474</f>
        <v>0</v>
      </c>
      <c r="I476" s="53">
        <f>(I465+I470)- I474</f>
        <v>0</v>
      </c>
      <c r="J476" s="53">
        <f>(J465+J470)- J474</f>
        <v>360481.9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30732213.059999999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4.51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8260000</v>
      </c>
      <c r="G495" s="18"/>
      <c r="H495" s="18"/>
      <c r="I495" s="18"/>
      <c r="J495" s="18"/>
      <c r="K495" s="53">
        <f>SUM(F495:J495)</f>
        <v>8260000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1420055</v>
      </c>
      <c r="G497" s="18"/>
      <c r="H497" s="18"/>
      <c r="I497" s="18"/>
      <c r="J497" s="18"/>
      <c r="K497" s="53">
        <f t="shared" si="35"/>
        <v>1420055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7225000</v>
      </c>
      <c r="G498" s="204"/>
      <c r="H498" s="204"/>
      <c r="I498" s="204"/>
      <c r="J498" s="204"/>
      <c r="K498" s="205">
        <f t="shared" si="35"/>
        <v>7225000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1262875</v>
      </c>
      <c r="G499" s="18"/>
      <c r="H499" s="18"/>
      <c r="I499" s="18"/>
      <c r="J499" s="18"/>
      <c r="K499" s="53">
        <f t="shared" si="35"/>
        <v>1262875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8487875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8487875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1035000</v>
      </c>
      <c r="G501" s="204"/>
      <c r="H501" s="204"/>
      <c r="I501" s="204"/>
      <c r="J501" s="204"/>
      <c r="K501" s="205">
        <f t="shared" si="35"/>
        <v>1035000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335375</v>
      </c>
      <c r="G502" s="18"/>
      <c r="H502" s="18"/>
      <c r="I502" s="18"/>
      <c r="J502" s="18"/>
      <c r="K502" s="53">
        <f t="shared" si="35"/>
        <v>335375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1370375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1370375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540706.13+54292.27+91566+93934.53</f>
        <v>780498.93</v>
      </c>
      <c r="G521" s="18">
        <f>326783.56+7471.41+56827.86+14443.6</f>
        <v>405526.42999999993</v>
      </c>
      <c r="H521" s="18">
        <f>31684.5+91927.38+46374.61</f>
        <v>169986.49</v>
      </c>
      <c r="I521" s="18">
        <f>594.62+224.57+3105</f>
        <v>3924.19</v>
      </c>
      <c r="J521" s="18">
        <f>1671.03+1970.8</f>
        <v>3641.83</v>
      </c>
      <c r="K521" s="18">
        <f>1149+1061.2</f>
        <v>2210.1999999999998</v>
      </c>
      <c r="L521" s="88">
        <f>SUM(F521:K521)</f>
        <v>1365788.0699999998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42202.47+365799.91+3438.75+30982.08</f>
        <v>442423.21</v>
      </c>
      <c r="G522" s="18">
        <f>227003.33+783.56+2559.9+6489.15</f>
        <v>236835.93999999997</v>
      </c>
      <c r="H522" s="18">
        <f>14522.06+523.1+166677.55+18588.6</f>
        <v>200311.31</v>
      </c>
      <c r="I522" s="18">
        <f>554.21+1395</f>
        <v>1949.21</v>
      </c>
      <c r="J522" s="18"/>
      <c r="K522" s="18"/>
      <c r="L522" s="88">
        <f>SUM(F522:K522)</f>
        <v>881519.66999999993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215736.35</f>
        <v>215736.35</v>
      </c>
      <c r="G523" s="18">
        <f>181020.78</f>
        <v>181020.78</v>
      </c>
      <c r="H523" s="18">
        <f>19802.81+130989.04+2315474.55</f>
        <v>2466266.4</v>
      </c>
      <c r="I523" s="18"/>
      <c r="J523" s="18"/>
      <c r="K523" s="18"/>
      <c r="L523" s="88">
        <f>SUM(F523:K523)</f>
        <v>2863023.53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1438658.4900000002</v>
      </c>
      <c r="G524" s="108">
        <f t="shared" ref="G524:L524" si="36">SUM(G521:G523)</f>
        <v>823383.14999999991</v>
      </c>
      <c r="H524" s="108">
        <f t="shared" si="36"/>
        <v>2836564.1999999997</v>
      </c>
      <c r="I524" s="108">
        <f t="shared" si="36"/>
        <v>5873.4</v>
      </c>
      <c r="J524" s="108">
        <f t="shared" si="36"/>
        <v>3641.83</v>
      </c>
      <c r="K524" s="108">
        <f t="shared" si="36"/>
        <v>2210.1999999999998</v>
      </c>
      <c r="L524" s="89">
        <f t="shared" si="36"/>
        <v>5110331.2699999996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30708.5+278918.85</f>
        <v>309627.34999999998</v>
      </c>
      <c r="G526" s="18">
        <f>545.76+16383.36+162618.11</f>
        <v>179547.22999999998</v>
      </c>
      <c r="H526" s="18">
        <f>77619.13+122949.37+62425.56+38375.39+500</f>
        <v>301869.45</v>
      </c>
      <c r="I526" s="18">
        <f>1715.96+988.74</f>
        <v>2704.7</v>
      </c>
      <c r="J526" s="18">
        <f>4716</f>
        <v>4716</v>
      </c>
      <c r="K526" s="18"/>
      <c r="L526" s="88">
        <f>SUM(F526:K526)</f>
        <v>798464.73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14074.73+74533</f>
        <v>88607.73</v>
      </c>
      <c r="G527" s="18">
        <f>250.14+7509.04+44034.88+215.12</f>
        <v>52009.18</v>
      </c>
      <c r="H527" s="18">
        <f>35575.43+56351.8+28611.72+17588.72</f>
        <v>138127.67000000001</v>
      </c>
      <c r="I527" s="18">
        <f>3313.16+1204.15</f>
        <v>4517.3099999999995</v>
      </c>
      <c r="J527" s="18"/>
      <c r="K527" s="18"/>
      <c r="L527" s="88">
        <f>SUM(F527:K527)</f>
        <v>283261.89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19192.82</f>
        <v>19192.82</v>
      </c>
      <c r="G528" s="18">
        <f>341.1+10239.6</f>
        <v>10580.7</v>
      </c>
      <c r="H528" s="18">
        <f>48511.96+76843.36+39015.98+23984.62</f>
        <v>188355.92</v>
      </c>
      <c r="I528" s="18"/>
      <c r="J528" s="18"/>
      <c r="K528" s="18"/>
      <c r="L528" s="88">
        <f>SUM(F528:K528)</f>
        <v>218129.44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417427.89999999997</v>
      </c>
      <c r="G529" s="89">
        <f t="shared" ref="G529:L529" si="37">SUM(G526:G528)</f>
        <v>242137.11</v>
      </c>
      <c r="H529" s="89">
        <f t="shared" si="37"/>
        <v>628353.04</v>
      </c>
      <c r="I529" s="89">
        <f t="shared" si="37"/>
        <v>7222.0099999999993</v>
      </c>
      <c r="J529" s="89">
        <f t="shared" si="37"/>
        <v>4716</v>
      </c>
      <c r="K529" s="89">
        <f t="shared" si="37"/>
        <v>0</v>
      </c>
      <c r="L529" s="89">
        <f t="shared" si="37"/>
        <v>1299856.06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87610.08</f>
        <v>87610.08</v>
      </c>
      <c r="G531" s="18">
        <f>50532.87</f>
        <v>50532.87</v>
      </c>
      <c r="H531" s="18">
        <f>2151.38+1984.95+1251.39</f>
        <v>5387.72</v>
      </c>
      <c r="I531" s="18">
        <f>520.73</f>
        <v>520.73</v>
      </c>
      <c r="J531" s="18">
        <f>2173.94</f>
        <v>2173.94</v>
      </c>
      <c r="K531" s="18"/>
      <c r="L531" s="88">
        <f>SUM(F531:K531)</f>
        <v>146225.34000000003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40154.61</f>
        <v>40154.61</v>
      </c>
      <c r="G532" s="18">
        <f>23160.9</f>
        <v>23160.9</v>
      </c>
      <c r="H532" s="18">
        <f>986.05+909.77</f>
        <v>1895.82</v>
      </c>
      <c r="I532" s="18">
        <f>238.67</f>
        <v>238.67</v>
      </c>
      <c r="J532" s="18">
        <f>996.39</f>
        <v>996.39</v>
      </c>
      <c r="K532" s="18"/>
      <c r="L532" s="88">
        <f>SUM(F532:K532)</f>
        <v>66446.39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54756.3</f>
        <v>54756.3</v>
      </c>
      <c r="G533" s="18">
        <f>31583.04</f>
        <v>31583.040000000001</v>
      </c>
      <c r="H533" s="18">
        <f>1344.61+1240.59</f>
        <v>2585.1999999999998</v>
      </c>
      <c r="I533" s="18">
        <f>325.45</f>
        <v>325.45</v>
      </c>
      <c r="J533" s="18">
        <f>1358.72</f>
        <v>1358.72</v>
      </c>
      <c r="K533" s="18"/>
      <c r="L533" s="88">
        <f>SUM(F533:K533)</f>
        <v>90608.709999999992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182520.99</v>
      </c>
      <c r="G534" s="89">
        <f t="shared" ref="G534:L534" si="38">SUM(G531:G533)</f>
        <v>105276.81</v>
      </c>
      <c r="H534" s="89">
        <f t="shared" si="38"/>
        <v>9868.74</v>
      </c>
      <c r="I534" s="89">
        <f t="shared" si="38"/>
        <v>1084.8499999999999</v>
      </c>
      <c r="J534" s="89">
        <f t="shared" si="38"/>
        <v>4529.05</v>
      </c>
      <c r="K534" s="89">
        <f t="shared" si="38"/>
        <v>0</v>
      </c>
      <c r="L534" s="89">
        <f t="shared" si="38"/>
        <v>303280.44000000006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47273.59</v>
      </c>
      <c r="I536" s="18"/>
      <c r="J536" s="18"/>
      <c r="K536" s="18"/>
      <c r="L536" s="88">
        <f>SUM(F536:K536)</f>
        <v>47273.59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25455.01</v>
      </c>
      <c r="I537" s="18"/>
      <c r="J537" s="18"/>
      <c r="K537" s="18"/>
      <c r="L537" s="88">
        <f>SUM(F537:K537)</f>
        <v>25455.01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72728.599999999991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72728.599999999991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236562.69</v>
      </c>
      <c r="I541" s="18"/>
      <c r="J541" s="18"/>
      <c r="K541" s="18"/>
      <c r="L541" s="88">
        <f>SUM(F541:K541)</f>
        <v>236562.69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104087.58</v>
      </c>
      <c r="I542" s="18"/>
      <c r="J542" s="18"/>
      <c r="K542" s="18"/>
      <c r="L542" s="88">
        <f>SUM(F542:K542)</f>
        <v>104087.58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132475.1</v>
      </c>
      <c r="I543" s="18"/>
      <c r="J543" s="18"/>
      <c r="K543" s="18"/>
      <c r="L543" s="88">
        <f>SUM(F543:K543)</f>
        <v>132475.1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473125.37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473125.37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2038607.3800000001</v>
      </c>
      <c r="G545" s="89">
        <f t="shared" ref="G545:L545" si="41">G524+G529+G534+G539+G544</f>
        <v>1170797.0699999998</v>
      </c>
      <c r="H545" s="89">
        <f t="shared" si="41"/>
        <v>4020639.95</v>
      </c>
      <c r="I545" s="89">
        <f t="shared" si="41"/>
        <v>14180.26</v>
      </c>
      <c r="J545" s="89">
        <f t="shared" si="41"/>
        <v>12886.880000000001</v>
      </c>
      <c r="K545" s="89">
        <f t="shared" si="41"/>
        <v>2210.1999999999998</v>
      </c>
      <c r="L545" s="89">
        <f t="shared" si="41"/>
        <v>7259321.7400000002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1365788.0699999998</v>
      </c>
      <c r="G549" s="87">
        <f>L526</f>
        <v>798464.73</v>
      </c>
      <c r="H549" s="87">
        <f>L531</f>
        <v>146225.34000000003</v>
      </c>
      <c r="I549" s="87">
        <f>L536</f>
        <v>47273.59</v>
      </c>
      <c r="J549" s="87">
        <f>L541</f>
        <v>236562.69</v>
      </c>
      <c r="K549" s="87">
        <f>SUM(F549:J549)</f>
        <v>2594314.4199999995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881519.66999999993</v>
      </c>
      <c r="G550" s="87">
        <f>L527</f>
        <v>283261.89</v>
      </c>
      <c r="H550" s="87">
        <f>L532</f>
        <v>66446.39</v>
      </c>
      <c r="I550" s="87">
        <f>L537</f>
        <v>25455.01</v>
      </c>
      <c r="J550" s="87">
        <f>L542</f>
        <v>104087.58</v>
      </c>
      <c r="K550" s="87">
        <f>SUM(F550:J550)</f>
        <v>1360770.54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2863023.53</v>
      </c>
      <c r="G551" s="87">
        <f>L528</f>
        <v>218129.44</v>
      </c>
      <c r="H551" s="87">
        <f>L533</f>
        <v>90608.709999999992</v>
      </c>
      <c r="I551" s="87">
        <f>L538</f>
        <v>0</v>
      </c>
      <c r="J551" s="87">
        <f>L543</f>
        <v>132475.1</v>
      </c>
      <c r="K551" s="87">
        <f>SUM(F551:J551)</f>
        <v>3304236.78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5110331.2699999996</v>
      </c>
      <c r="G552" s="89">
        <f t="shared" si="42"/>
        <v>1299856.06</v>
      </c>
      <c r="H552" s="89">
        <f t="shared" si="42"/>
        <v>303280.44000000006</v>
      </c>
      <c r="I552" s="89">
        <f t="shared" si="42"/>
        <v>72728.599999999991</v>
      </c>
      <c r="J552" s="89">
        <f t="shared" si="42"/>
        <v>473125.37</v>
      </c>
      <c r="K552" s="89">
        <f t="shared" si="42"/>
        <v>7259321.7399999993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91566</v>
      </c>
      <c r="G562" s="18">
        <v>56827.86</v>
      </c>
      <c r="H562" s="18"/>
      <c r="I562" s="18">
        <v>224.57</v>
      </c>
      <c r="J562" s="18"/>
      <c r="K562" s="18"/>
      <c r="L562" s="88">
        <f>SUM(F562:K562)</f>
        <v>148618.43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30982.080000000002</v>
      </c>
      <c r="G563" s="18">
        <v>2559.9</v>
      </c>
      <c r="H563" s="18"/>
      <c r="I563" s="18"/>
      <c r="J563" s="18"/>
      <c r="K563" s="18"/>
      <c r="L563" s="88">
        <f>SUM(F563:K563)</f>
        <v>33541.980000000003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122548.08</v>
      </c>
      <c r="G565" s="89">
        <f t="shared" si="44"/>
        <v>59387.76</v>
      </c>
      <c r="H565" s="89">
        <f t="shared" si="44"/>
        <v>0</v>
      </c>
      <c r="I565" s="89">
        <f t="shared" si="44"/>
        <v>224.57</v>
      </c>
      <c r="J565" s="89">
        <f t="shared" si="44"/>
        <v>0</v>
      </c>
      <c r="K565" s="89">
        <f t="shared" si="44"/>
        <v>0</v>
      </c>
      <c r="L565" s="89">
        <f t="shared" si="44"/>
        <v>182160.41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f>63799</f>
        <v>63799</v>
      </c>
      <c r="G567" s="18">
        <v>34383.120000000003</v>
      </c>
      <c r="H567" s="18"/>
      <c r="I567" s="18">
        <v>226.49</v>
      </c>
      <c r="J567" s="18"/>
      <c r="K567" s="18">
        <v>926</v>
      </c>
      <c r="L567" s="88">
        <f>SUM(F567:K567)</f>
        <v>99334.61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60033</v>
      </c>
      <c r="G568" s="18">
        <v>33489.83</v>
      </c>
      <c r="H568" s="18">
        <f>5482.32</f>
        <v>5482.32</v>
      </c>
      <c r="I568" s="18">
        <v>1022.46</v>
      </c>
      <c r="J568" s="18"/>
      <c r="K568" s="18"/>
      <c r="L568" s="88">
        <f>SUM(F568:K568)</f>
        <v>100027.61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123832</v>
      </c>
      <c r="G570" s="193">
        <f t="shared" ref="G570:L570" si="45">SUM(G567:G569)</f>
        <v>67872.950000000012</v>
      </c>
      <c r="H570" s="193">
        <f t="shared" si="45"/>
        <v>5482.32</v>
      </c>
      <c r="I570" s="193">
        <f t="shared" si="45"/>
        <v>1248.95</v>
      </c>
      <c r="J570" s="193">
        <f t="shared" si="45"/>
        <v>0</v>
      </c>
      <c r="K570" s="193">
        <f t="shared" si="45"/>
        <v>926</v>
      </c>
      <c r="L570" s="193">
        <f t="shared" si="45"/>
        <v>199362.22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246380.08000000002</v>
      </c>
      <c r="G571" s="89">
        <f t="shared" ref="G571:L571" si="46">G560+G565+G570</f>
        <v>127260.71000000002</v>
      </c>
      <c r="H571" s="89">
        <f t="shared" si="46"/>
        <v>5482.32</v>
      </c>
      <c r="I571" s="89">
        <f t="shared" si="46"/>
        <v>1473.52</v>
      </c>
      <c r="J571" s="89">
        <f t="shared" si="46"/>
        <v>0</v>
      </c>
      <c r="K571" s="89">
        <f t="shared" si="46"/>
        <v>926</v>
      </c>
      <c r="L571" s="89">
        <f t="shared" si="46"/>
        <v>381522.63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4241120.21</v>
      </c>
      <c r="I575" s="87">
        <f>SUM(F575:H575)</f>
        <v>4241120.21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1885791.44</v>
      </c>
      <c r="I577" s="87">
        <f t="shared" si="47"/>
        <v>1885791.44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995873.4</v>
      </c>
      <c r="I579" s="87">
        <f t="shared" si="47"/>
        <v>995873.4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601792.84</v>
      </c>
      <c r="I581" s="87">
        <f t="shared" si="47"/>
        <v>601792.84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91927.38</v>
      </c>
      <c r="G582" s="18">
        <v>166677.54999999999</v>
      </c>
      <c r="H582" s="18">
        <v>717808.31</v>
      </c>
      <c r="I582" s="87">
        <f t="shared" si="47"/>
        <v>976413.24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444797.55</v>
      </c>
      <c r="I591" s="18">
        <v>255522</v>
      </c>
      <c r="J591" s="18">
        <v>246058.22</v>
      </c>
      <c r="K591" s="104">
        <f t="shared" ref="K591:K597" si="48">SUM(H591:J591)</f>
        <v>946377.77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236562.69</v>
      </c>
      <c r="I592" s="18">
        <v>104087.58</v>
      </c>
      <c r="J592" s="18">
        <v>132475.1</v>
      </c>
      <c r="K592" s="104">
        <f t="shared" si="48"/>
        <v>473125.37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13229.4</v>
      </c>
      <c r="J594" s="18"/>
      <c r="K594" s="104">
        <f t="shared" si="48"/>
        <v>13229.4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6817.05</v>
      </c>
      <c r="I595" s="18">
        <v>6658.83</v>
      </c>
      <c r="J595" s="18"/>
      <c r="K595" s="104">
        <f t="shared" si="48"/>
        <v>13475.880000000001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688177.29</v>
      </c>
      <c r="I598" s="108">
        <f>SUM(I591:I597)</f>
        <v>379497.81000000006</v>
      </c>
      <c r="J598" s="108">
        <f>SUM(J591:J597)</f>
        <v>378533.32</v>
      </c>
      <c r="K598" s="108">
        <f>SUM(K591:K597)</f>
        <v>1446208.42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95058.09</v>
      </c>
      <c r="I604" s="18">
        <v>59455.79</v>
      </c>
      <c r="J604" s="18"/>
      <c r="K604" s="104">
        <f>SUM(H604:J604)</f>
        <v>154513.88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95058.09</v>
      </c>
      <c r="I605" s="108">
        <f>SUM(I602:I604)</f>
        <v>59455.79</v>
      </c>
      <c r="J605" s="108">
        <f>SUM(J602:J604)</f>
        <v>0</v>
      </c>
      <c r="K605" s="108">
        <f>SUM(K602:K604)</f>
        <v>154513.88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17700</v>
      </c>
      <c r="G611" s="18">
        <v>3368.17</v>
      </c>
      <c r="H611" s="18"/>
      <c r="I611" s="18">
        <v>472.69</v>
      </c>
      <c r="J611" s="18"/>
      <c r="K611" s="18"/>
      <c r="L611" s="88">
        <f>SUM(F611:K611)</f>
        <v>21540.859999999997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17700</v>
      </c>
      <c r="G614" s="108">
        <f t="shared" si="49"/>
        <v>3368.17</v>
      </c>
      <c r="H614" s="108">
        <f t="shared" si="49"/>
        <v>0</v>
      </c>
      <c r="I614" s="108">
        <f t="shared" si="49"/>
        <v>472.69</v>
      </c>
      <c r="J614" s="108">
        <f t="shared" si="49"/>
        <v>0</v>
      </c>
      <c r="K614" s="108">
        <f t="shared" si="49"/>
        <v>0</v>
      </c>
      <c r="L614" s="89">
        <f t="shared" si="49"/>
        <v>21540.859999999997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1324983.7199999997</v>
      </c>
      <c r="H617" s="109">
        <f>SUM(F52)</f>
        <v>1324983.72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22567.4</v>
      </c>
      <c r="H618" s="109">
        <f>SUM(G52)</f>
        <v>22567.4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195984.05</v>
      </c>
      <c r="H619" s="109">
        <f>SUM(H52)</f>
        <v>195984.05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360481.9</v>
      </c>
      <c r="H621" s="109">
        <f>SUM(J52)</f>
        <v>360481.9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1120696.93</v>
      </c>
      <c r="H622" s="109">
        <f>F476</f>
        <v>1120696.9299999997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9780.58</v>
      </c>
      <c r="H623" s="109">
        <f>G476</f>
        <v>9780.5800000000745</v>
      </c>
      <c r="I623" s="121" t="s">
        <v>102</v>
      </c>
      <c r="J623" s="109">
        <f t="shared" si="50"/>
        <v>-7.4578565545380116E-11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360481.9</v>
      </c>
      <c r="H626" s="109">
        <f>J476</f>
        <v>360481.9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29226157.82</v>
      </c>
      <c r="H627" s="104">
        <f>SUM(F468)</f>
        <v>29226157.82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614299.30000000005</v>
      </c>
      <c r="H628" s="104">
        <f>SUM(G468)</f>
        <v>614299.30000000005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481886.92</v>
      </c>
      <c r="H629" s="104">
        <f>SUM(H468)</f>
        <v>481886.92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99567.61</v>
      </c>
      <c r="H631" s="104">
        <f>SUM(J468)</f>
        <v>99567.61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28866024.460000005</v>
      </c>
      <c r="H632" s="104">
        <f>SUM(F472)</f>
        <v>28866024.460000001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481886.92</v>
      </c>
      <c r="H633" s="104">
        <f>SUM(H472)</f>
        <v>481886.92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261200.74</v>
      </c>
      <c r="H634" s="104">
        <f>I369</f>
        <v>261200.74000000002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604518.72</v>
      </c>
      <c r="H635" s="104">
        <f>SUM(G472)</f>
        <v>604518.72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99567.61</v>
      </c>
      <c r="H637" s="164">
        <f>SUM(J468)</f>
        <v>99567.61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136902.85999999999</v>
      </c>
      <c r="H639" s="104">
        <f>SUM(F461)</f>
        <v>136902.85999999999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223579.04</v>
      </c>
      <c r="H640" s="104">
        <f>SUM(G461)</f>
        <v>223579.04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360481.9</v>
      </c>
      <c r="H642" s="104">
        <f>SUM(I461)</f>
        <v>360481.9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4067.61</v>
      </c>
      <c r="H644" s="104">
        <f>H408</f>
        <v>4067.61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95500</v>
      </c>
      <c r="H645" s="104">
        <f>G408</f>
        <v>95500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99567.61</v>
      </c>
      <c r="H646" s="104">
        <f>L408</f>
        <v>99567.61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1446208.42</v>
      </c>
      <c r="H647" s="104">
        <f>L208+L226+L244</f>
        <v>1446208.4200000002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154513.88</v>
      </c>
      <c r="H648" s="104">
        <f>(J257+J338)-(J255+J336)</f>
        <v>154513.88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688177.29</v>
      </c>
      <c r="H649" s="104">
        <f>H598</f>
        <v>688177.29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379497.81</v>
      </c>
      <c r="H650" s="104">
        <f>I598</f>
        <v>379497.81000000006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378533.32</v>
      </c>
      <c r="H651" s="104">
        <f>J598</f>
        <v>378533.32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95500</v>
      </c>
      <c r="H655" s="104">
        <f>K266+K347</f>
        <v>95500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11785795.040000003</v>
      </c>
      <c r="G660" s="19">
        <f>(L229+L309+L359)</f>
        <v>7181859.2399999993</v>
      </c>
      <c r="H660" s="19">
        <f>(L247+L328+L360)</f>
        <v>9435005.0300000012</v>
      </c>
      <c r="I660" s="19">
        <f>SUM(F660:H660)</f>
        <v>28402659.310000002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258966.27340275157</v>
      </c>
      <c r="G661" s="19">
        <f>(L359/IF(SUM(L358:L360)=0,1,SUM(L358:L360))*(SUM(G97:G110)))</f>
        <v>126833.79659724847</v>
      </c>
      <c r="H661" s="19">
        <f>(L360/IF(SUM(L358:L360)=0,1,SUM(L358:L360))*(SUM(G97:G110)))</f>
        <v>0</v>
      </c>
      <c r="I661" s="19">
        <f>SUM(F661:H661)</f>
        <v>385800.07000000007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688177.29</v>
      </c>
      <c r="G662" s="19">
        <f>(L226+L306)-(J226+J306)</f>
        <v>379497.81</v>
      </c>
      <c r="H662" s="19">
        <f>(L244+L325)-(J244+J325)</f>
        <v>378533.32</v>
      </c>
      <c r="I662" s="19">
        <f>SUM(F662:H662)</f>
        <v>1446208.4200000002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208526.33</v>
      </c>
      <c r="G663" s="199">
        <f>SUM(G575:G587)+SUM(I602:I604)+L612</f>
        <v>226133.34</v>
      </c>
      <c r="H663" s="199">
        <f>SUM(H575:H587)+SUM(J602:J604)+L613</f>
        <v>8442386.2000000011</v>
      </c>
      <c r="I663" s="19">
        <f>SUM(F663:H663)</f>
        <v>8877045.870000001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10630125.146597251</v>
      </c>
      <c r="G664" s="19">
        <f>G660-SUM(G661:G663)</f>
        <v>6449394.293402751</v>
      </c>
      <c r="H664" s="19">
        <f>H660-SUM(H661:H663)</f>
        <v>614085.50999999978</v>
      </c>
      <c r="I664" s="19">
        <f>I660-SUM(I661:I663)</f>
        <v>17693604.950000003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817.5</v>
      </c>
      <c r="G665" s="248">
        <v>486.81</v>
      </c>
      <c r="H665" s="248"/>
      <c r="I665" s="19">
        <f>SUM(F665:H665)</f>
        <v>1304.31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13003.21</v>
      </c>
      <c r="G667" s="19">
        <f>ROUND(G664/G665,2)</f>
        <v>13248.28</v>
      </c>
      <c r="H667" s="19" t="e">
        <f>ROUND(H664/H665,2)</f>
        <v>#DIV/0!</v>
      </c>
      <c r="I667" s="19">
        <f>ROUND(I664/I665,2)</f>
        <v>13565.49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-614085.51</v>
      </c>
      <c r="I669" s="19">
        <f>SUM(F669:H669)</f>
        <v>-614085.51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13003.21</v>
      </c>
      <c r="G672" s="19">
        <f>ROUND((G664+G669)/(G665+G670),2)</f>
        <v>13248.28</v>
      </c>
      <c r="H672" s="19" t="e">
        <f>ROUND((H664+H669)/(H665+H670),2)</f>
        <v>#DIV/0!</v>
      </c>
      <c r="I672" s="19">
        <f>ROUND((I664+I669)/(I665+I670),2)</f>
        <v>13094.68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Hooksett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5086004.5</v>
      </c>
      <c r="C9" s="229">
        <f>'DOE25'!G197+'DOE25'!G215+'DOE25'!G233+'DOE25'!G276+'DOE25'!G295+'DOE25'!G314</f>
        <v>2826260.93</v>
      </c>
    </row>
    <row r="10" spans="1:3" x14ac:dyDescent="0.2">
      <c r="A10" t="s">
        <v>779</v>
      </c>
      <c r="B10" s="240">
        <v>4774379.57</v>
      </c>
      <c r="C10" s="240">
        <v>2657738.19</v>
      </c>
    </row>
    <row r="11" spans="1:3" x14ac:dyDescent="0.2">
      <c r="A11" t="s">
        <v>780</v>
      </c>
      <c r="B11" s="240">
        <v>141112.79999999999</v>
      </c>
      <c r="C11" s="240">
        <v>122547.75</v>
      </c>
    </row>
    <row r="12" spans="1:3" x14ac:dyDescent="0.2">
      <c r="A12" t="s">
        <v>781</v>
      </c>
      <c r="B12" s="240">
        <v>170512.13</v>
      </c>
      <c r="C12" s="240">
        <v>45974.99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5086004.5</v>
      </c>
      <c r="C13" s="231">
        <f>SUM(C10:C12)</f>
        <v>2826260.93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1745011.4899999998</v>
      </c>
      <c r="C18" s="229">
        <f>'DOE25'!G198+'DOE25'!G216+'DOE25'!G234+'DOE25'!G277+'DOE25'!G296+'DOE25'!G315</f>
        <v>996532.90999999992</v>
      </c>
    </row>
    <row r="19" spans="1:3" x14ac:dyDescent="0.2">
      <c r="A19" t="s">
        <v>779</v>
      </c>
      <c r="B19" s="240">
        <v>766097.64</v>
      </c>
      <c r="C19" s="240">
        <v>402009.22</v>
      </c>
    </row>
    <row r="20" spans="1:3" x14ac:dyDescent="0.2">
      <c r="A20" t="s">
        <v>780</v>
      </c>
      <c r="B20" s="240">
        <v>633036.68999999994</v>
      </c>
      <c r="C20" s="240">
        <v>455087.63</v>
      </c>
    </row>
    <row r="21" spans="1:3" x14ac:dyDescent="0.2">
      <c r="A21" t="s">
        <v>781</v>
      </c>
      <c r="B21" s="240">
        <v>345877.16</v>
      </c>
      <c r="C21" s="240">
        <v>139436.06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1745011.49</v>
      </c>
      <c r="C22" s="231">
        <f>SUM(C19:C21)</f>
        <v>996532.90999999992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68177</v>
      </c>
      <c r="C36" s="235">
        <f>'DOE25'!G200+'DOE25'!G218+'DOE25'!G236+'DOE25'!G279+'DOE25'!G298+'DOE25'!G317</f>
        <v>13328.73</v>
      </c>
    </row>
    <row r="37" spans="1:3" x14ac:dyDescent="0.2">
      <c r="A37" t="s">
        <v>779</v>
      </c>
      <c r="B37" s="240">
        <v>8775</v>
      </c>
      <c r="C37" s="240">
        <v>1596.32</v>
      </c>
    </row>
    <row r="38" spans="1:3" x14ac:dyDescent="0.2">
      <c r="A38" t="s">
        <v>780</v>
      </c>
      <c r="B38" s="240">
        <v>875</v>
      </c>
      <c r="C38" s="240">
        <v>178.72</v>
      </c>
    </row>
    <row r="39" spans="1:3" x14ac:dyDescent="0.2">
      <c r="A39" t="s">
        <v>781</v>
      </c>
      <c r="B39" s="240">
        <v>58527</v>
      </c>
      <c r="C39" s="240">
        <v>11553.69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68177</v>
      </c>
      <c r="C40" s="231">
        <f>SUM(C37:C39)</f>
        <v>13328.73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31" sqref="D3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Hooksett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19881216.260000002</v>
      </c>
      <c r="D5" s="20">
        <f>SUM('DOE25'!L197:L200)+SUM('DOE25'!L215:L218)+SUM('DOE25'!L233:L236)-F5-G5</f>
        <v>19854225.98</v>
      </c>
      <c r="E5" s="243"/>
      <c r="F5" s="255">
        <f>SUM('DOE25'!J197:J200)+SUM('DOE25'!J215:J218)+SUM('DOE25'!J233:J236)</f>
        <v>22816.28</v>
      </c>
      <c r="G5" s="53">
        <f>SUM('DOE25'!K197:K200)+SUM('DOE25'!K215:K218)+SUM('DOE25'!K233:K236)</f>
        <v>4174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1640038.23</v>
      </c>
      <c r="D6" s="20">
        <f>'DOE25'!L202+'DOE25'!L220+'DOE25'!L238-F6-G6</f>
        <v>1629886.03</v>
      </c>
      <c r="E6" s="243"/>
      <c r="F6" s="255">
        <f>'DOE25'!J202+'DOE25'!J220+'DOE25'!J238</f>
        <v>5169.8</v>
      </c>
      <c r="G6" s="53">
        <f>'DOE25'!K202+'DOE25'!K220+'DOE25'!K238</f>
        <v>4982.3999999999996</v>
      </c>
      <c r="H6" s="259"/>
    </row>
    <row r="7" spans="1:9" x14ac:dyDescent="0.2">
      <c r="A7" s="32">
        <v>2200</v>
      </c>
      <c r="B7" t="s">
        <v>834</v>
      </c>
      <c r="C7" s="245">
        <f t="shared" si="0"/>
        <v>562230.15</v>
      </c>
      <c r="D7" s="20">
        <f>'DOE25'!L203+'DOE25'!L221+'DOE25'!L239-F7-G7</f>
        <v>548504.03</v>
      </c>
      <c r="E7" s="243"/>
      <c r="F7" s="255">
        <f>'DOE25'!J203+'DOE25'!J221+'DOE25'!J239</f>
        <v>12954.61</v>
      </c>
      <c r="G7" s="53">
        <f>'DOE25'!K203+'DOE25'!K221+'DOE25'!K239</f>
        <v>771.51</v>
      </c>
      <c r="H7" s="259"/>
    </row>
    <row r="8" spans="1:9" x14ac:dyDescent="0.2">
      <c r="A8" s="32">
        <v>2300</v>
      </c>
      <c r="B8" t="s">
        <v>802</v>
      </c>
      <c r="C8" s="245">
        <f t="shared" si="0"/>
        <v>445372.57999999996</v>
      </c>
      <c r="D8" s="243"/>
      <c r="E8" s="20">
        <f>'DOE25'!L204+'DOE25'!L222+'DOE25'!L240-F8-G8-D9-D11</f>
        <v>439394.82999999996</v>
      </c>
      <c r="F8" s="255">
        <f>'DOE25'!J204+'DOE25'!J222+'DOE25'!J240</f>
        <v>0</v>
      </c>
      <c r="G8" s="53">
        <f>'DOE25'!K204+'DOE25'!K222+'DOE25'!K240</f>
        <v>5977.75</v>
      </c>
      <c r="H8" s="259"/>
    </row>
    <row r="9" spans="1:9" x14ac:dyDescent="0.2">
      <c r="A9" s="32">
        <v>2310</v>
      </c>
      <c r="B9" t="s">
        <v>818</v>
      </c>
      <c r="C9" s="245">
        <f t="shared" si="0"/>
        <v>72728.600000000006</v>
      </c>
      <c r="D9" s="244">
        <v>72728.600000000006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14956</v>
      </c>
      <c r="D10" s="243"/>
      <c r="E10" s="244">
        <v>14956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199632.22</v>
      </c>
      <c r="D11" s="244">
        <v>199632.22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1161461.06</v>
      </c>
      <c r="D12" s="20">
        <f>'DOE25'!L205+'DOE25'!L223+'DOE25'!L241-F12-G12</f>
        <v>1153003.9000000001</v>
      </c>
      <c r="E12" s="243"/>
      <c r="F12" s="255">
        <f>'DOE25'!J205+'DOE25'!J223+'DOE25'!J241</f>
        <v>3584.16</v>
      </c>
      <c r="G12" s="53">
        <f>'DOE25'!K205+'DOE25'!K223+'DOE25'!K241</f>
        <v>4873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1572468.9</v>
      </c>
      <c r="D14" s="20">
        <f>'DOE25'!L207+'DOE25'!L225+'DOE25'!L243-F14-G14</f>
        <v>1563858.18</v>
      </c>
      <c r="E14" s="243"/>
      <c r="F14" s="255">
        <f>'DOE25'!J207+'DOE25'!J225+'DOE25'!J243</f>
        <v>8610.7199999999993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1446208.4200000002</v>
      </c>
      <c r="D15" s="20">
        <f>'DOE25'!L208+'DOE25'!L226+'DOE25'!L244-F15-G15</f>
        <v>1446208.4200000002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334897.25</v>
      </c>
      <c r="D16" s="243"/>
      <c r="E16" s="20">
        <f>'DOE25'!L209+'DOE25'!L227+'DOE25'!L245-F16-G16</f>
        <v>236550.94</v>
      </c>
      <c r="F16" s="255">
        <f>'DOE25'!J209+'DOE25'!J227+'DOE25'!J245</f>
        <v>98346.31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13164</v>
      </c>
      <c r="D22" s="243"/>
      <c r="E22" s="243"/>
      <c r="F22" s="255">
        <f>'DOE25'!L255+'DOE25'!L336</f>
        <v>13164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1420055</v>
      </c>
      <c r="D25" s="243"/>
      <c r="E25" s="243"/>
      <c r="F25" s="258"/>
      <c r="G25" s="256"/>
      <c r="H25" s="257">
        <f>'DOE25'!L260+'DOE25'!L261+'DOE25'!L341+'DOE25'!L342</f>
        <v>1420055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405896.32999999996</v>
      </c>
      <c r="D29" s="20">
        <f>'DOE25'!L358+'DOE25'!L359+'DOE25'!L360-'DOE25'!I367-F29-G29</f>
        <v>405446.32999999996</v>
      </c>
      <c r="E29" s="243"/>
      <c r="F29" s="255">
        <f>'DOE25'!J358+'DOE25'!J359+'DOE25'!J360</f>
        <v>0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481886.92</v>
      </c>
      <c r="D31" s="20">
        <f>'DOE25'!L290+'DOE25'!L309+'DOE25'!L328+'DOE25'!L333+'DOE25'!L334+'DOE25'!L335-F31-G31</f>
        <v>472098.47</v>
      </c>
      <c r="E31" s="243"/>
      <c r="F31" s="255">
        <f>'DOE25'!J290+'DOE25'!J309+'DOE25'!J328+'DOE25'!J333+'DOE25'!J334+'DOE25'!J335</f>
        <v>3032</v>
      </c>
      <c r="G31" s="53">
        <f>'DOE25'!K290+'DOE25'!K309+'DOE25'!K328+'DOE25'!K333+'DOE25'!K334+'DOE25'!K335</f>
        <v>6756.4500000000007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27345592.16</v>
      </c>
      <c r="E33" s="246">
        <f>SUM(E5:E31)</f>
        <v>690901.77</v>
      </c>
      <c r="F33" s="246">
        <f>SUM(F5:F31)</f>
        <v>167677.88</v>
      </c>
      <c r="G33" s="246">
        <f>SUM(G5:G31)</f>
        <v>27985.11</v>
      </c>
      <c r="H33" s="246">
        <f>SUM(H5:H31)</f>
        <v>1420055</v>
      </c>
    </row>
    <row r="35" spans="2:8" ht="12" thickBot="1" x14ac:dyDescent="0.25">
      <c r="B35" s="253" t="s">
        <v>847</v>
      </c>
      <c r="D35" s="254">
        <f>E33</f>
        <v>690901.77</v>
      </c>
      <c r="E35" s="249"/>
    </row>
    <row r="36" spans="2:8" ht="12" thickTop="1" x14ac:dyDescent="0.2">
      <c r="B36" t="s">
        <v>815</v>
      </c>
      <c r="D36" s="20">
        <f>D33</f>
        <v>27345592.16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Hooksett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1130639.1499999999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186046.18</v>
      </c>
      <c r="D11" s="95">
        <f>'DOE25'!G12</f>
        <v>10584.04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7932.39</v>
      </c>
      <c r="D12" s="95">
        <f>'DOE25'!G13</f>
        <v>11983.36</v>
      </c>
      <c r="E12" s="95">
        <f>'DOE25'!H13</f>
        <v>195984.05</v>
      </c>
      <c r="F12" s="95">
        <f>'DOE25'!I13</f>
        <v>0</v>
      </c>
      <c r="G12" s="95">
        <f>'DOE25'!J13</f>
        <v>360481.9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366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1324983.7199999997</v>
      </c>
      <c r="D18" s="41">
        <f>SUM(D8:D17)</f>
        <v>22567.4</v>
      </c>
      <c r="E18" s="41">
        <f>SUM(E8:E17)</f>
        <v>195984.05</v>
      </c>
      <c r="F18" s="41">
        <f>SUM(F8:F17)</f>
        <v>0</v>
      </c>
      <c r="G18" s="41">
        <f>SUM(G8:G17)</f>
        <v>360481.9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10584.04</v>
      </c>
      <c r="D21" s="95">
        <f>'DOE25'!G22</f>
        <v>0</v>
      </c>
      <c r="E21" s="95">
        <f>'DOE25'!H22</f>
        <v>186046.18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181281.56</v>
      </c>
      <c r="D23" s="95">
        <f>'DOE25'!G24</f>
        <v>688.45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9921.33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2499.86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12098.37</v>
      </c>
      <c r="E29" s="95">
        <f>'DOE25'!H30</f>
        <v>9937.8700000000008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204286.78999999998</v>
      </c>
      <c r="D31" s="41">
        <f>SUM(D21:D30)</f>
        <v>12786.820000000002</v>
      </c>
      <c r="E31" s="41">
        <f>SUM(E21:E30)</f>
        <v>195984.05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33182.42</v>
      </c>
      <c r="D47" s="95">
        <f>'DOE25'!G48</f>
        <v>9780.58</v>
      </c>
      <c r="E47" s="95">
        <f>'DOE25'!H48</f>
        <v>0</v>
      </c>
      <c r="F47" s="95">
        <f>'DOE25'!I48</f>
        <v>0</v>
      </c>
      <c r="G47" s="95">
        <f>'DOE25'!J48</f>
        <v>360481.9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51306.54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996207.97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1120696.93</v>
      </c>
      <c r="D50" s="41">
        <f>SUM(D34:D49)</f>
        <v>9780.58</v>
      </c>
      <c r="E50" s="41">
        <f>SUM(E34:E49)</f>
        <v>0</v>
      </c>
      <c r="F50" s="41">
        <f>SUM(F34:F49)</f>
        <v>0</v>
      </c>
      <c r="G50" s="41">
        <f>SUM(G34:G49)</f>
        <v>360481.9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1324983.72</v>
      </c>
      <c r="D51" s="41">
        <f>D50+D31</f>
        <v>22567.4</v>
      </c>
      <c r="E51" s="41">
        <f>E50+E31</f>
        <v>195984.05</v>
      </c>
      <c r="F51" s="41">
        <f>F50+F31</f>
        <v>0</v>
      </c>
      <c r="G51" s="41">
        <f>G50+G31</f>
        <v>360481.9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20590594.32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15693.45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23008.83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421.58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4067.61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385800.07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41818.710000000006</v>
      </c>
      <c r="D61" s="95">
        <f>SUM('DOE25'!G98:G110)</f>
        <v>0</v>
      </c>
      <c r="E61" s="95">
        <f>SUM('DOE25'!H98:H110)</f>
        <v>3578.2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80942.570000000007</v>
      </c>
      <c r="D62" s="130">
        <f>SUM(D57:D61)</f>
        <v>385800.07</v>
      </c>
      <c r="E62" s="130">
        <f>SUM(E57:E61)</f>
        <v>3578.2</v>
      </c>
      <c r="F62" s="130">
        <f>SUM(F57:F61)</f>
        <v>0</v>
      </c>
      <c r="G62" s="130">
        <f>SUM(G57:G61)</f>
        <v>4067.61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20671536.890000001</v>
      </c>
      <c r="D63" s="22">
        <f>D56+D62</f>
        <v>385800.07</v>
      </c>
      <c r="E63" s="22">
        <f>E56+E62</f>
        <v>3578.2</v>
      </c>
      <c r="F63" s="22">
        <f>F56+F62</f>
        <v>0</v>
      </c>
      <c r="G63" s="22">
        <f>G56+G62</f>
        <v>4067.61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3872340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3815350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1881.98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7689571.9800000004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330172.48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312290.94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8238.1299999999992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642463.41999999993</v>
      </c>
      <c r="D78" s="130">
        <f>SUM(D72:D77)</f>
        <v>8238.1299999999992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8332035.4000000004</v>
      </c>
      <c r="D81" s="130">
        <f>SUM(D79:D80)+D78+D70</f>
        <v>8238.1299999999992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222585.53</v>
      </c>
      <c r="D88" s="95">
        <f>SUM('DOE25'!G153:G161)</f>
        <v>220261.1</v>
      </c>
      <c r="E88" s="95">
        <f>SUM('DOE25'!H153:H161)</f>
        <v>476141.97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2166.75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222585.53</v>
      </c>
      <c r="D91" s="131">
        <f>SUM(D85:D90)</f>
        <v>220261.1</v>
      </c>
      <c r="E91" s="131">
        <f>SUM(E85:E90)</f>
        <v>478308.72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95500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95500</v>
      </c>
    </row>
    <row r="104" spans="1:7" ht="12.75" thickTop="1" thickBot="1" x14ac:dyDescent="0.25">
      <c r="A104" s="33" t="s">
        <v>765</v>
      </c>
      <c r="C104" s="86">
        <f>C63+C81+C91+C103</f>
        <v>29226157.82</v>
      </c>
      <c r="D104" s="86">
        <f>D63+D81+D91+D103</f>
        <v>614299.30000000005</v>
      </c>
      <c r="E104" s="86">
        <f>E63+E81+E91+E103</f>
        <v>481886.92</v>
      </c>
      <c r="F104" s="86">
        <f>F63+F81+F91+F103</f>
        <v>0</v>
      </c>
      <c r="G104" s="86">
        <f>G63+G81+G103</f>
        <v>99567.61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14138615.450000001</v>
      </c>
      <c r="D109" s="24" t="s">
        <v>289</v>
      </c>
      <c r="E109" s="95">
        <f>('DOE25'!L276)+('DOE25'!L295)+('DOE25'!L314)</f>
        <v>119104.59999999999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5639553.5099999998</v>
      </c>
      <c r="D110" s="24" t="s">
        <v>289</v>
      </c>
      <c r="E110" s="95">
        <f>('DOE25'!L277)+('DOE25'!L296)+('DOE25'!L315)</f>
        <v>229564.95999999996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103047.29999999999</v>
      </c>
      <c r="D112" s="24" t="s">
        <v>289</v>
      </c>
      <c r="E112" s="95">
        <f>+('DOE25'!L279)+('DOE25'!L298)+('DOE25'!L317)</f>
        <v>4000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19881216.260000002</v>
      </c>
      <c r="D115" s="86">
        <f>SUM(D109:D114)</f>
        <v>0</v>
      </c>
      <c r="E115" s="86">
        <f>SUM(E109:E114)</f>
        <v>352669.55999999994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1640038.23</v>
      </c>
      <c r="D118" s="24" t="s">
        <v>289</v>
      </c>
      <c r="E118" s="95">
        <f>+('DOE25'!L281)+('DOE25'!L300)+('DOE25'!L319)</f>
        <v>87465.200000000012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562230.15</v>
      </c>
      <c r="D119" s="24" t="s">
        <v>289</v>
      </c>
      <c r="E119" s="95">
        <f>+('DOE25'!L282)+('DOE25'!L301)+('DOE25'!L320)</f>
        <v>34211.960000000006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717733.39999999991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1161461.06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6756.4500000000007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1572468.9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1446208.4200000002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334897.25</v>
      </c>
      <c r="D125" s="24" t="s">
        <v>289</v>
      </c>
      <c r="E125" s="95">
        <f>+('DOE25'!L288)+('DOE25'!L307)+('DOE25'!L326)</f>
        <v>783.75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604518.72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7435037.4100000001</v>
      </c>
      <c r="D128" s="86">
        <f>SUM(D118:D127)</f>
        <v>604518.72</v>
      </c>
      <c r="E128" s="86">
        <f>SUM(E118:E127)</f>
        <v>129217.36000000002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13164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1035000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385055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96758.71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2808.9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-4067.6100000000006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21051.79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1549770.7899999998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28866024.460000001</v>
      </c>
      <c r="D145" s="86">
        <f>(D115+D128+D144)</f>
        <v>604518.72</v>
      </c>
      <c r="E145" s="86">
        <f>(E115+E128+E144)</f>
        <v>481886.91999999993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05/02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30732213.059999999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4.51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8260000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8260000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1420055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1420055</v>
      </c>
    </row>
    <row r="159" spans="1:9" x14ac:dyDescent="0.2">
      <c r="A159" s="22" t="s">
        <v>35</v>
      </c>
      <c r="B159" s="137">
        <f>'DOE25'!F498</f>
        <v>7225000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7225000</v>
      </c>
    </row>
    <row r="160" spans="1:9" x14ac:dyDescent="0.2">
      <c r="A160" s="22" t="s">
        <v>36</v>
      </c>
      <c r="B160" s="137">
        <f>'DOE25'!F499</f>
        <v>1262875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1262875</v>
      </c>
    </row>
    <row r="161" spans="1:7" x14ac:dyDescent="0.2">
      <c r="A161" s="22" t="s">
        <v>37</v>
      </c>
      <c r="B161" s="137">
        <f>'DOE25'!F500</f>
        <v>8487875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8487875</v>
      </c>
    </row>
    <row r="162" spans="1:7" x14ac:dyDescent="0.2">
      <c r="A162" s="22" t="s">
        <v>38</v>
      </c>
      <c r="B162" s="137">
        <f>'DOE25'!F501</f>
        <v>1035000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1035000</v>
      </c>
    </row>
    <row r="163" spans="1:7" x14ac:dyDescent="0.2">
      <c r="A163" s="22" t="s">
        <v>39</v>
      </c>
      <c r="B163" s="137">
        <f>'DOE25'!F502</f>
        <v>335375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335375</v>
      </c>
    </row>
    <row r="164" spans="1:7" x14ac:dyDescent="0.2">
      <c r="A164" s="22" t="s">
        <v>246</v>
      </c>
      <c r="B164" s="137">
        <f>'DOE25'!F503</f>
        <v>1370375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1370375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Hooksett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13003</v>
      </c>
    </row>
    <row r="5" spans="1:4" x14ac:dyDescent="0.2">
      <c r="B5" t="s">
        <v>704</v>
      </c>
      <c r="C5" s="179">
        <f>IF('DOE25'!G665+'DOE25'!G670=0,0,ROUND('DOE25'!G672,0))</f>
        <v>13248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13095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14257720</v>
      </c>
      <c r="D10" s="182">
        <f>ROUND((C10/$C$28)*100,1)</f>
        <v>50.2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5869118</v>
      </c>
      <c r="D11" s="182">
        <f>ROUND((C11/$C$28)*100,1)</f>
        <v>20.6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107047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1727503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596442</v>
      </c>
      <c r="D16" s="182">
        <f t="shared" si="0"/>
        <v>2.1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1053414</v>
      </c>
      <c r="D17" s="182">
        <f t="shared" si="0"/>
        <v>3.7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1161461</v>
      </c>
      <c r="D18" s="182">
        <f t="shared" si="0"/>
        <v>4.0999999999999996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6756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1572469</v>
      </c>
      <c r="D20" s="182">
        <f t="shared" si="0"/>
        <v>5.5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1446208</v>
      </c>
      <c r="D21" s="182">
        <f t="shared" si="0"/>
        <v>5.0999999999999996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385055</v>
      </c>
      <c r="D25" s="182">
        <f t="shared" si="0"/>
        <v>1.4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21051.79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218718.93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28422963.719999999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13164</v>
      </c>
    </row>
    <row r="30" spans="1:4" x14ac:dyDescent="0.2">
      <c r="B30" s="187" t="s">
        <v>729</v>
      </c>
      <c r="C30" s="180">
        <f>SUM(C28:C29)</f>
        <v>28436127.719999999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1035000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20590594</v>
      </c>
      <c r="D35" s="182">
        <f t="shared" ref="D35:D40" si="1">ROUND((C35/$C$41)*100,1)</f>
        <v>68.8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88588.69999999553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7687690</v>
      </c>
      <c r="D37" s="182">
        <f t="shared" si="1"/>
        <v>25.7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652584</v>
      </c>
      <c r="D38" s="182">
        <f t="shared" si="1"/>
        <v>2.2000000000000002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921155</v>
      </c>
      <c r="D39" s="182">
        <f t="shared" si="1"/>
        <v>3.1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29940611.699999996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Hooksett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2016-09-23T16:23:10Z</cp:lastPrinted>
  <dcterms:created xsi:type="dcterms:W3CDTF">1997-12-04T19:04:30Z</dcterms:created>
  <dcterms:modified xsi:type="dcterms:W3CDTF">2016-10-24T13:30:49Z</dcterms:modified>
</cp:coreProperties>
</file>