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F0A" lockStructure="1"/>
  <bookViews>
    <workbookView xWindow="0" yWindow="0" windowWidth="2971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2" i="1" l="1"/>
  <c r="H216" i="1"/>
  <c r="H198" i="1"/>
  <c r="C20" i="12"/>
  <c r="B20" i="12"/>
  <c r="B12" i="12"/>
  <c r="C11" i="12"/>
  <c r="B11" i="12"/>
  <c r="C12" i="12"/>
  <c r="F197" i="1"/>
  <c r="I244" i="1"/>
  <c r="H244" i="1"/>
  <c r="G244" i="1"/>
  <c r="F244" i="1"/>
  <c r="L244" i="1" s="1"/>
  <c r="I226" i="1"/>
  <c r="H226" i="1"/>
  <c r="G226" i="1"/>
  <c r="F226" i="1"/>
  <c r="L226" i="1" s="1"/>
  <c r="I208" i="1"/>
  <c r="L208" i="1" s="1"/>
  <c r="H208" i="1"/>
  <c r="G208" i="1"/>
  <c r="F208" i="1"/>
  <c r="J243" i="1"/>
  <c r="I243" i="1"/>
  <c r="H243" i="1"/>
  <c r="J225" i="1"/>
  <c r="I225" i="1"/>
  <c r="H225" i="1"/>
  <c r="J207" i="1"/>
  <c r="I207" i="1"/>
  <c r="H207" i="1"/>
  <c r="I203" i="1"/>
  <c r="H203" i="1"/>
  <c r="G198" i="1"/>
  <c r="F198" i="1"/>
  <c r="L198" i="1" s="1"/>
  <c r="K197" i="1"/>
  <c r="J197" i="1"/>
  <c r="I197" i="1"/>
  <c r="G197" i="1"/>
  <c r="F465" i="1"/>
  <c r="L197" i="1"/>
  <c r="K270" i="1"/>
  <c r="G613" i="1"/>
  <c r="F613" i="1"/>
  <c r="G612" i="1"/>
  <c r="F612" i="1"/>
  <c r="F611" i="1"/>
  <c r="G611" i="1"/>
  <c r="G564" i="1"/>
  <c r="I320" i="1"/>
  <c r="I301" i="1"/>
  <c r="I314" i="1"/>
  <c r="L314" i="1" s="1"/>
  <c r="I295" i="1"/>
  <c r="J276" i="1"/>
  <c r="I276" i="1"/>
  <c r="H276" i="1"/>
  <c r="L276" i="1" s="1"/>
  <c r="G276" i="1"/>
  <c r="F276" i="1"/>
  <c r="H320" i="1"/>
  <c r="L320" i="1" s="1"/>
  <c r="H301" i="1"/>
  <c r="L301" i="1" s="1"/>
  <c r="E119" i="2" s="1"/>
  <c r="E128" i="2" s="1"/>
  <c r="H282" i="1"/>
  <c r="L277" i="1"/>
  <c r="L282" i="1"/>
  <c r="L281" i="1"/>
  <c r="L283" i="1"/>
  <c r="L287" i="1"/>
  <c r="L295" i="1"/>
  <c r="L296" i="1"/>
  <c r="L300" i="1"/>
  <c r="L302" i="1"/>
  <c r="L315" i="1"/>
  <c r="L319" i="1"/>
  <c r="L321" i="1"/>
  <c r="I337" i="1"/>
  <c r="J337" i="1"/>
  <c r="K337" i="1"/>
  <c r="L344" i="1"/>
  <c r="G243" i="1"/>
  <c r="F243" i="1"/>
  <c r="L243" i="1" s="1"/>
  <c r="G225" i="1"/>
  <c r="L225" i="1" s="1"/>
  <c r="F225" i="1"/>
  <c r="G207" i="1"/>
  <c r="F207" i="1"/>
  <c r="L207" i="1" s="1"/>
  <c r="H240" i="1"/>
  <c r="H222" i="1"/>
  <c r="H204" i="1"/>
  <c r="L204" i="1" s="1"/>
  <c r="K239" i="1"/>
  <c r="J239" i="1"/>
  <c r="I239" i="1"/>
  <c r="H239" i="1"/>
  <c r="G239" i="1"/>
  <c r="F239" i="1"/>
  <c r="K221" i="1"/>
  <c r="J221" i="1"/>
  <c r="I221" i="1"/>
  <c r="H221" i="1"/>
  <c r="G221" i="1"/>
  <c r="F221" i="1"/>
  <c r="K203" i="1"/>
  <c r="J203" i="1"/>
  <c r="G203" i="1"/>
  <c r="F203" i="1"/>
  <c r="L203" i="1" s="1"/>
  <c r="J238" i="1"/>
  <c r="I238" i="1"/>
  <c r="H238" i="1"/>
  <c r="G238" i="1"/>
  <c r="F238" i="1"/>
  <c r="J220" i="1"/>
  <c r="I220" i="1"/>
  <c r="H220" i="1"/>
  <c r="G220" i="1"/>
  <c r="F220" i="1"/>
  <c r="L220" i="1" s="1"/>
  <c r="J202" i="1"/>
  <c r="I202" i="1"/>
  <c r="H202" i="1"/>
  <c r="G202" i="1"/>
  <c r="F202" i="1"/>
  <c r="J234" i="1"/>
  <c r="I234" i="1"/>
  <c r="H234" i="1"/>
  <c r="G234" i="1"/>
  <c r="F234" i="1"/>
  <c r="J216" i="1"/>
  <c r="I216" i="1"/>
  <c r="G216" i="1"/>
  <c r="F216" i="1"/>
  <c r="L216" i="1" s="1"/>
  <c r="J198" i="1"/>
  <c r="I198" i="1"/>
  <c r="J233" i="1"/>
  <c r="H233" i="1"/>
  <c r="G233" i="1"/>
  <c r="F233" i="1"/>
  <c r="J215" i="1"/>
  <c r="H215" i="1"/>
  <c r="G215" i="1"/>
  <c r="F215" i="1"/>
  <c r="H197" i="1"/>
  <c r="H367" i="1"/>
  <c r="G367" i="1"/>
  <c r="F367" i="1"/>
  <c r="K359" i="1"/>
  <c r="K358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H102" i="1"/>
  <c r="H110" i="1"/>
  <c r="H101" i="1"/>
  <c r="H155" i="1"/>
  <c r="H159" i="1"/>
  <c r="H154" i="1"/>
  <c r="G97" i="1"/>
  <c r="G158" i="1"/>
  <c r="G132" i="1"/>
  <c r="F98" i="1"/>
  <c r="F110" i="1"/>
  <c r="F63" i="1"/>
  <c r="I507" i="1"/>
  <c r="H512" i="1"/>
  <c r="F507" i="1"/>
  <c r="F499" i="1"/>
  <c r="F498" i="1"/>
  <c r="G459" i="1"/>
  <c r="F459" i="1"/>
  <c r="G440" i="1"/>
  <c r="F440" i="1"/>
  <c r="H24" i="1"/>
  <c r="C45" i="2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C50" i="2" s="1"/>
  <c r="C51" i="2" s="1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9" i="1"/>
  <c r="L200" i="1"/>
  <c r="L215" i="1"/>
  <c r="L229" i="1" s="1"/>
  <c r="G660" i="1" s="1"/>
  <c r="L217" i="1"/>
  <c r="L218" i="1"/>
  <c r="L233" i="1"/>
  <c r="L247" i="1" s="1"/>
  <c r="L234" i="1"/>
  <c r="L235" i="1"/>
  <c r="L236" i="1"/>
  <c r="F6" i="13"/>
  <c r="G6" i="13"/>
  <c r="L202" i="1"/>
  <c r="L238" i="1"/>
  <c r="F7" i="13"/>
  <c r="G7" i="13"/>
  <c r="L221" i="1"/>
  <c r="L239" i="1"/>
  <c r="F12" i="13"/>
  <c r="G12" i="13"/>
  <c r="L205" i="1"/>
  <c r="L223" i="1"/>
  <c r="L241" i="1"/>
  <c r="F14" i="13"/>
  <c r="G14" i="13"/>
  <c r="F15" i="13"/>
  <c r="G15" i="13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2" i="1" s="1"/>
  <c r="G472" i="1" s="1"/>
  <c r="L360" i="1"/>
  <c r="I367" i="1"/>
  <c r="J290" i="1"/>
  <c r="J309" i="1"/>
  <c r="J328" i="1"/>
  <c r="K290" i="1"/>
  <c r="K309" i="1"/>
  <c r="K328" i="1"/>
  <c r="L278" i="1"/>
  <c r="L279" i="1"/>
  <c r="L284" i="1"/>
  <c r="L285" i="1"/>
  <c r="L286" i="1"/>
  <c r="L288" i="1"/>
  <c r="L297" i="1"/>
  <c r="L309" i="1" s="1"/>
  <c r="L298" i="1"/>
  <c r="L303" i="1"/>
  <c r="L304" i="1"/>
  <c r="L305" i="1"/>
  <c r="L306" i="1"/>
  <c r="L307" i="1"/>
  <c r="L316" i="1"/>
  <c r="L317" i="1"/>
  <c r="L322" i="1"/>
  <c r="L323" i="1"/>
  <c r="L324" i="1"/>
  <c r="L325" i="1"/>
  <c r="L326" i="1"/>
  <c r="L333" i="1"/>
  <c r="L334" i="1"/>
  <c r="L335" i="1"/>
  <c r="L260" i="1"/>
  <c r="L261" i="1"/>
  <c r="L341" i="1"/>
  <c r="L351" i="1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J112" i="1" s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I669" i="1"/>
  <c r="C42" i="10"/>
  <c r="C32" i="10"/>
  <c r="L374" i="1"/>
  <c r="L375" i="1"/>
  <c r="L376" i="1"/>
  <c r="L377" i="1"/>
  <c r="L378" i="1"/>
  <c r="L379" i="1"/>
  <c r="L380" i="1"/>
  <c r="B2" i="10"/>
  <c r="L345" i="1"/>
  <c r="L346" i="1"/>
  <c r="L347" i="1"/>
  <c r="K351" i="1"/>
  <c r="L521" i="1"/>
  <c r="F549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J270" i="1"/>
  <c r="I270" i="1"/>
  <c r="H270" i="1"/>
  <c r="G270" i="1"/>
  <c r="F270" i="1"/>
  <c r="L270" i="1" s="1"/>
  <c r="C132" i="2"/>
  <c r="C131" i="2"/>
  <c r="A1" i="2"/>
  <c r="A2" i="2"/>
  <c r="C8" i="2"/>
  <c r="D8" i="2"/>
  <c r="E8" i="2"/>
  <c r="F8" i="2"/>
  <c r="I439" i="1"/>
  <c r="J9" i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/>
  <c r="I457" i="1"/>
  <c r="J37" i="1" s="1"/>
  <c r="G36" i="2" s="1"/>
  <c r="I459" i="1"/>
  <c r="J48" i="1" s="1"/>
  <c r="G47" i="2" s="1"/>
  <c r="C49" i="2"/>
  <c r="C56" i="2"/>
  <c r="C63" i="2" s="1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D61" i="2"/>
  <c r="E61" i="2"/>
  <c r="F61" i="2"/>
  <c r="C66" i="2"/>
  <c r="C67" i="2"/>
  <c r="C69" i="2"/>
  <c r="D69" i="2"/>
  <c r="D70" i="2" s="1"/>
  <c r="D81" i="2" s="1"/>
  <c r="E69" i="2"/>
  <c r="E70" i="2" s="1"/>
  <c r="E81" i="2" s="1"/>
  <c r="F69" i="2"/>
  <c r="F70" i="2" s="1"/>
  <c r="G69" i="2"/>
  <c r="G70" i="2" s="1"/>
  <c r="G81" i="2" s="1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20" i="2"/>
  <c r="C121" i="2"/>
  <c r="E121" i="2"/>
  <c r="C122" i="2"/>
  <c r="E122" i="2"/>
  <c r="E123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/>
  <c r="H503" i="1"/>
  <c r="D164" i="2" s="1"/>
  <c r="I503" i="1"/>
  <c r="E164" i="2"/>
  <c r="J503" i="1"/>
  <c r="F164" i="2" s="1"/>
  <c r="F19" i="1"/>
  <c r="G19" i="1"/>
  <c r="H19" i="1"/>
  <c r="I19" i="1"/>
  <c r="F32" i="1"/>
  <c r="F52" i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L337" i="1" s="1"/>
  <c r="G337" i="1"/>
  <c r="H337" i="1"/>
  <c r="J338" i="1"/>
  <c r="J352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J468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I470" i="1"/>
  <c r="I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3" i="1"/>
  <c r="G624" i="1"/>
  <c r="G625" i="1"/>
  <c r="H630" i="1"/>
  <c r="G634" i="1"/>
  <c r="H634" i="1"/>
  <c r="H636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C18" i="2"/>
  <c r="C26" i="10"/>
  <c r="A31" i="12"/>
  <c r="C70" i="2"/>
  <c r="A40" i="12"/>
  <c r="D12" i="13"/>
  <c r="C12" i="13" s="1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C81" i="2" s="1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J644" i="1"/>
  <c r="J643" i="1"/>
  <c r="I476" i="1"/>
  <c r="H625" i="1" s="1"/>
  <c r="J625" i="1" s="1"/>
  <c r="G338" i="1"/>
  <c r="G352" i="1" s="1"/>
  <c r="F169" i="1"/>
  <c r="J140" i="1"/>
  <c r="F571" i="1"/>
  <c r="H257" i="1"/>
  <c r="H271" i="1"/>
  <c r="G22" i="2"/>
  <c r="K598" i="1"/>
  <c r="G647" i="1" s="1"/>
  <c r="K545" i="1"/>
  <c r="C29" i="10"/>
  <c r="I661" i="1"/>
  <c r="H140" i="1"/>
  <c r="L401" i="1"/>
  <c r="C139" i="2"/>
  <c r="L393" i="1"/>
  <c r="A13" i="12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C35" i="10"/>
  <c r="E16" i="13"/>
  <c r="J655" i="1"/>
  <c r="J645" i="1"/>
  <c r="L570" i="1"/>
  <c r="I571" i="1"/>
  <c r="I545" i="1"/>
  <c r="L565" i="1"/>
  <c r="G545" i="1"/>
  <c r="L545" i="1"/>
  <c r="H545" i="1"/>
  <c r="C22" i="13"/>
  <c r="C138" i="2"/>
  <c r="C16" i="13"/>
  <c r="H33" i="13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/>
  <c r="C24" i="10"/>
  <c r="G31" i="13"/>
  <c r="G33" i="13"/>
  <c r="I338" i="1"/>
  <c r="I352" i="1"/>
  <c r="L407" i="1"/>
  <c r="C140" i="2" s="1"/>
  <c r="L571" i="1"/>
  <c r="I192" i="1"/>
  <c r="E91" i="2"/>
  <c r="D51" i="2"/>
  <c r="J654" i="1"/>
  <c r="J653" i="1"/>
  <c r="G21" i="2"/>
  <c r="L434" i="1"/>
  <c r="J434" i="1"/>
  <c r="F434" i="1"/>
  <c r="K434" i="1"/>
  <c r="G134" i="2"/>
  <c r="G144" i="2" s="1"/>
  <c r="G145" i="2" s="1"/>
  <c r="F31" i="13"/>
  <c r="J193" i="1"/>
  <c r="G646" i="1" s="1"/>
  <c r="F104" i="2"/>
  <c r="H193" i="1"/>
  <c r="H468" i="1" s="1"/>
  <c r="G629" i="1"/>
  <c r="G169" i="1"/>
  <c r="C39" i="10"/>
  <c r="G140" i="1"/>
  <c r="F140" i="1"/>
  <c r="F193" i="1" s="1"/>
  <c r="C36" i="10"/>
  <c r="G63" i="2"/>
  <c r="G104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G631" i="1"/>
  <c r="G193" i="1"/>
  <c r="G468" i="1" s="1"/>
  <c r="G628" i="1"/>
  <c r="G626" i="1"/>
  <c r="C38" i="10"/>
  <c r="C41" i="10" s="1"/>
  <c r="D37" i="10" l="1"/>
  <c r="D39" i="10"/>
  <c r="D35" i="10"/>
  <c r="D40" i="10"/>
  <c r="D38" i="10"/>
  <c r="D36" i="10"/>
  <c r="J635" i="1"/>
  <c r="F468" i="1"/>
  <c r="G627" i="1"/>
  <c r="K551" i="1"/>
  <c r="G474" i="1"/>
  <c r="H635" i="1"/>
  <c r="C118" i="2"/>
  <c r="D6" i="13"/>
  <c r="C6" i="13" s="1"/>
  <c r="C15" i="10"/>
  <c r="L290" i="1"/>
  <c r="C10" i="10"/>
  <c r="E109" i="2"/>
  <c r="E115" i="2" s="1"/>
  <c r="E145" i="2" s="1"/>
  <c r="L328" i="1"/>
  <c r="H660" i="1" s="1"/>
  <c r="H664" i="1" s="1"/>
  <c r="I552" i="1"/>
  <c r="K550" i="1"/>
  <c r="F552" i="1"/>
  <c r="D14" i="13"/>
  <c r="C14" i="13" s="1"/>
  <c r="C20" i="10"/>
  <c r="C123" i="2"/>
  <c r="D5" i="13"/>
  <c r="C11" i="10"/>
  <c r="C110" i="2"/>
  <c r="C115" i="2" s="1"/>
  <c r="C21" i="10"/>
  <c r="C124" i="2"/>
  <c r="H647" i="1"/>
  <c r="J647" i="1" s="1"/>
  <c r="F662" i="1"/>
  <c r="G649" i="1"/>
  <c r="J649" i="1" s="1"/>
  <c r="D15" i="13"/>
  <c r="C15" i="13" s="1"/>
  <c r="H470" i="1"/>
  <c r="H629" i="1"/>
  <c r="J629" i="1" s="1"/>
  <c r="J472" i="1"/>
  <c r="G638" i="1"/>
  <c r="J552" i="1"/>
  <c r="D7" i="13"/>
  <c r="C7" i="13" s="1"/>
  <c r="C16" i="10"/>
  <c r="C119" i="2"/>
  <c r="C17" i="10"/>
  <c r="C120" i="2"/>
  <c r="E8" i="13"/>
  <c r="G650" i="1"/>
  <c r="J650" i="1" s="1"/>
  <c r="G662" i="1"/>
  <c r="G664" i="1" s="1"/>
  <c r="H662" i="1"/>
  <c r="G651" i="1"/>
  <c r="J651" i="1" s="1"/>
  <c r="G470" i="1"/>
  <c r="H628" i="1"/>
  <c r="J628" i="1" s="1"/>
  <c r="C141" i="2"/>
  <c r="C144" i="2" s="1"/>
  <c r="H637" i="1"/>
  <c r="J470" i="1"/>
  <c r="H631" i="1"/>
  <c r="J631" i="1" s="1"/>
  <c r="G164" i="2"/>
  <c r="G30" i="2"/>
  <c r="G31" i="2" s="1"/>
  <c r="G51" i="2" s="1"/>
  <c r="J32" i="1"/>
  <c r="J52" i="1" s="1"/>
  <c r="H621" i="1" s="1"/>
  <c r="J621" i="1" s="1"/>
  <c r="G552" i="1"/>
  <c r="K549" i="1"/>
  <c r="K552" i="1" s="1"/>
  <c r="L211" i="1"/>
  <c r="L408" i="1"/>
  <c r="H667" i="1" l="1"/>
  <c r="H672" i="1"/>
  <c r="C6" i="10" s="1"/>
  <c r="G637" i="1"/>
  <c r="J637" i="1" s="1"/>
  <c r="H646" i="1"/>
  <c r="J646" i="1" s="1"/>
  <c r="J476" i="1"/>
  <c r="H626" i="1" s="1"/>
  <c r="J626" i="1" s="1"/>
  <c r="G476" i="1"/>
  <c r="H623" i="1" s="1"/>
  <c r="J623" i="1" s="1"/>
  <c r="C5" i="13"/>
  <c r="D33" i="13"/>
  <c r="D36" i="13" s="1"/>
  <c r="L338" i="1"/>
  <c r="L352" i="1" s="1"/>
  <c r="D31" i="13"/>
  <c r="C31" i="13" s="1"/>
  <c r="D41" i="10"/>
  <c r="D15" i="10"/>
  <c r="F660" i="1"/>
  <c r="L257" i="1"/>
  <c r="C8" i="13"/>
  <c r="E33" i="13"/>
  <c r="D35" i="13" s="1"/>
  <c r="H638" i="1"/>
  <c r="J638" i="1" s="1"/>
  <c r="J474" i="1"/>
  <c r="I662" i="1"/>
  <c r="F470" i="1"/>
  <c r="H627" i="1"/>
  <c r="J627" i="1" s="1"/>
  <c r="G672" i="1"/>
  <c r="C5" i="10" s="1"/>
  <c r="G667" i="1"/>
  <c r="D17" i="10"/>
  <c r="C28" i="10"/>
  <c r="D10" i="10"/>
  <c r="C128" i="2"/>
  <c r="C145" i="2" s="1"/>
  <c r="D19" i="10" l="1"/>
  <c r="D25" i="10"/>
  <c r="C30" i="10"/>
  <c r="D23" i="10"/>
  <c r="D26" i="10"/>
  <c r="D24" i="10"/>
  <c r="D12" i="10"/>
  <c r="D18" i="10"/>
  <c r="D22" i="10"/>
  <c r="D13" i="10"/>
  <c r="D27" i="10"/>
  <c r="D11" i="10"/>
  <c r="D28" i="10" s="1"/>
  <c r="D20" i="10"/>
  <c r="F664" i="1"/>
  <c r="I660" i="1"/>
  <c r="I664" i="1" s="1"/>
  <c r="D16" i="10"/>
  <c r="H472" i="1"/>
  <c r="G633" i="1"/>
  <c r="D21" i="10"/>
  <c r="F472" i="1"/>
  <c r="L271" i="1"/>
  <c r="G632" i="1" s="1"/>
  <c r="I667" i="1" l="1"/>
  <c r="I672" i="1"/>
  <c r="C7" i="10" s="1"/>
  <c r="F672" i="1"/>
  <c r="C4" i="10" s="1"/>
  <c r="F667" i="1"/>
  <c r="F474" i="1"/>
  <c r="F476" i="1" s="1"/>
  <c r="H622" i="1" s="1"/>
  <c r="J622" i="1" s="1"/>
  <c r="H632" i="1"/>
  <c r="J632" i="1" s="1"/>
  <c r="H633" i="1"/>
  <c r="J633" i="1" s="1"/>
  <c r="H474" i="1"/>
  <c r="H476" i="1" s="1"/>
  <c r="H624" i="1" s="1"/>
  <c r="J624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<sst xmlns="http://schemas.openxmlformats.org/spreadsheetml/2006/main" count="3958" uniqueCount="916">
  <si>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</si>
  <si>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</si>
  <si>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</si>
  <si>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</si>
  <si>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</si>
  <si>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</si>
  <si>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</si>
  <si>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</si>
  <si>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</si>
  <si>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</si>
  <si>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</si>
  <si>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</si>
  <si>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</si>
  <si>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</si>
  <si>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</si>
  <si>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</si>
  <si>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</si>
  <si>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</si>
  <si>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</si>
  <si>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</si>
  <si>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</si>
  <si>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</si>
  <si>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</si>
  <si>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</si>
  <si>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</si>
  <si>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</si>
  <si>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</si>
  <si>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</si>
  <si>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</si>
  <si>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</si>
  <si>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</si>
  <si>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</si>
  <si>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</si>
  <si>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</si>
  <si>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</si>
  <si>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</si>
  <si>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</si>
  <si>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</si>
  <si>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</si>
  <si>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</si>
  <si>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</si>
  <si>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</si>
  <si>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</si>
  <si>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</si>
  <si>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</si>
  <si>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</si>
  <si>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</si>
  <si>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</si>
  <si>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</si>
  <si>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</si>
  <si>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</si>
  <si>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</si>
  <si>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</si>
  <si>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</si>
  <si>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</si>
  <si>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</si>
  <si>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</si>
  <si>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</si>
  <si>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</si>
  <si>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</si>
  <si>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</si>
  <si>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</si>
  <si>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</si>
  <si>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</si>
  <si>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</si>
  <si>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</si>
  <si>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</si>
  <si>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</si>
  <si>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</si>
  <si>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</si>
  <si>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</si>
  <si>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</si>
  <si>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</si>
  <si>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</si>
  <si>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</si>
  <si>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</si>
  <si>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</si>
  <si>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</si>
  <si>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</si>
  <si>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</si>
  <si>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</si>
  <si>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</si>
  <si>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</si>
  <si>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</si>
  <si>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</si>
  <si>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</si>
  <si>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</si>
  <si>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</si>
  <si>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</si>
  <si>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</si>
  <si>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</si>
  <si>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</si>
  <si>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</si>
  <si>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</si>
  <si>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</si>
  <si>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</si>
  <si>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</si>
  <si>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</si>
  <si>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</si>
  <si>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</si>
  <si>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</si>
  <si>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</si>
  <si>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</si>
  <si>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</si>
  <si>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</si>
  <si>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</si>
  <si>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</si>
  <si>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</si>
  <si>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</si>
  <si>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</si>
  <si>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</si>
  <si>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</si>
  <si>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</si>
  <si>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</si>
  <si>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</si>
  <si>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</si>
  <si>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</si>
  <si>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</si>
  <si>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</si>
  <si>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</si>
  <si>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</si>
  <si>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</si>
  <si>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</si>
  <si>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</si>
  <si>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</si>
  <si>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</si>
  <si>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</si>
  <si>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</si>
  <si>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</si>
  <si>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</si>
  <si>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</si>
  <si>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</si>
  <si>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</si>
  <si>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</si>
  <si>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</si>
  <si>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</si>
  <si>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</si>
  <si>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</si>
  <si>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</si>
  <si>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</si>
  <si>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</si>
  <si>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</si>
  <si>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</si>
  <si>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</si>
  <si>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</si>
  <si>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</si>
  <si>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</si>
  <si>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</si>
  <si>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</si>
  <si>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</si>
  <si>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</si>
  <si>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</si>
  <si>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</si>
  <si>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</si>
  <si>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</si>
  <si>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</si>
  <si>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</si>
  <si>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</si>
  <si>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</si>
  <si>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</si>
  <si>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</si>
  <si>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</si>
  <si>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</si>
  <si>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</si>
  <si>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</si>
  <si>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</si>
  <si>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</si>
  <si>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</si>
  <si>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</si>
  <si>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</si>
  <si>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</si>
  <si>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</si>
  <si>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</si>
  <si>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</si>
  <si>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</si>
  <si>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</si>
  <si>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</si>
  <si>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</si>
  <si>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</si>
  <si>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</si>
  <si>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</si>
  <si>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</si>
  <si>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</si>
  <si>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</si>
  <si>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</si>
  <si>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</si>
  <si>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</si>
  <si>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</si>
  <si>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</si>
  <si>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</si>
  <si>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</si>
  <si>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</si>
  <si>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</si>
  <si>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</si>
  <si>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</si>
  <si>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</si>
  <si>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</si>
  <si>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</si>
  <si>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</si>
  <si>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</si>
  <si>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</si>
  <si>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</si>
  <si>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</si>
  <si>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</si>
  <si>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</si>
  <si>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</si>
  <si>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</si>
  <si>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</si>
  <si>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</si>
  <si>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</si>
  <si>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</si>
  <si>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</si>
  <si>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</si>
  <si>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</si>
  <si>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</si>
  <si>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</si>
  <si>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</si>
  <si>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</si>
  <si>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</si>
  <si>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</si>
  <si>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</si>
  <si>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</si>
  <si>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</si>
  <si>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</si>
  <si>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</si>
  <si>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</si>
  <si>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</si>
  <si>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</si>
  <si>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</si>
  <si>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</si>
  <si>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</si>
  <si>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</si>
  <si>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</si>
  <si>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</si>
  <si>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</si>
  <si>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</si>
  <si>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</si>
  <si>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</si>
  <si>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</si>
  <si>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</si>
  <si>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</si>
  <si>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</si>
  <si>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</si>
  <si>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</si>
  <si>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</si>
  <si>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</si>
  <si>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</si>
  <si>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</si>
  <si>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</si>
  <si>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</si>
  <si>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</si>
  <si>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</si>
  <si>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</si>
  <si>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</si>
  <si>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</si>
  <si>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</si>
  <si>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</si>
  <si>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</si>
  <si>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</si>
  <si>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</si>
  <si>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</si>
  <si>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</si>
  <si>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</si>
  <si>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</si>
  <si>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</si>
  <si>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</si>
  <si>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</si>
  <si>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</si>
  <si>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</si>
  <si>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</si>
  <si>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</si>
  <si>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</si>
  <si>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</si>
  <si>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</si>
  <si>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</si>
  <si>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</si>
  <si>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</si>
  <si>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</si>
  <si>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</si>
  <si>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</si>
  <si>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</si>
  <si>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</si>
  <si>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</si>
  <si>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</si>
  <si>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</si>
  <si>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</si>
  <si>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</si>
  <si>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</si>
  <si>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</si>
  <si>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</si>
  <si>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</si>
  <si>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</si>
  <si>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</si>
  <si>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</si>
  <si>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</si>
  <si>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</si>
  <si>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</si>
  <si>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</si>
  <si>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</si>
  <si>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</si>
  <si>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</si>
  <si>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</si>
  <si>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</si>
  <si>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</si>
  <si>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</si>
  <si>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</si>
  <si>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</si>
  <si>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</si>
  <si>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</si>
  <si>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</si>
  <si>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</si>
  <si>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</si>
  <si>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</si>
  <si>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</si>
  <si>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</si>
  <si>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</si>
  <si>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</si>
  <si>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</si>
  <si>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</si>
  <si>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</si>
  <si>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</si>
  <si>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</si>
  <si>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</si>
  <si>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</si>
  <si>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</si>
  <si>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</si>
  <si>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</si>
  <si>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</si>
  <si>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</si>
  <si>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</si>
  <si>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</si>
  <si>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</si>
  <si>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</si>
  <si>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</si>
  <si>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</si>
  <si>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</si>
  <si>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</si>
  <si>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</si>
  <si>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</si>
  <si>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</si>
  <si>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</si>
  <si>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</si>
  <si>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</si>
  <si>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</si>
  <si>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</si>
  <si>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</si>
  <si>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</si>
  <si>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</si>
  <si>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</si>
  <si>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</si>
  <si>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</si>
  <si>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</si>
  <si>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</si>
  <si>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</si>
  <si>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</si>
  <si>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</si>
  <si>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</si>
  <si>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</si>
  <si>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</si>
  <si>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</si>
  <si>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</si>
  <si>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</si>
  <si>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</si>
  <si>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</si>
  <si>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</si>
  <si>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</si>
  <si>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</si>
  <si>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</si>
  <si>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</si>
  <si>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</si>
  <si>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</si>
  <si>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</si>
  <si>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</si>
  <si>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</si>
  <si>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</si>
  <si>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</si>
  <si>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</si>
  <si>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</si>
  <si>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</si>
  <si>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</si>
  <si>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</si>
  <si>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</si>
  <si>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</si>
  <si>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</si>
  <si>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</si>
  <si>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</si>
  <si>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</si>
  <si>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</si>
  <si>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</si>
  <si>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</si>
  <si>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</si>
  <si>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</si>
  <si>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</si>
  <si>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</si>
  <si>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</si>
  <si>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</si>
  <si>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</si>
  <si>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</si>
  <si>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</si>
  <si>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</si>
  <si>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</si>
  <si>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</si>
  <si>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</si>
  <si>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</si>
  <si>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</si>
  <si>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</si>
  <si>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</si>
  <si>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</si>
  <si>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</si>
  <si>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</si>
  <si>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</si>
  <si>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</si>
  <si>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</si>
  <si>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</si>
  <si>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</si>
  <si>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</si>
  <si>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</si>
  <si>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</si>
  <si>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</si>
  <si>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</si>
  <si>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</si>
  <si>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</si>
  <si>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</si>
  <si>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</si>
  <si>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</si>
  <si>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</si>
  <si>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</si>
  <si>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</si>
  <si>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</si>
  <si>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</si>
  <si>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</si>
  <si>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</si>
  <si>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</si>
  <si>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</si>
  <si>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</si>
  <si>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</si>
  <si>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</si>
  <si>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</si>
  <si>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</si>
  <si>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</si>
  <si>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</si>
  <si>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</si>
  <si>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</si>
  <si>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</si>
  <si>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</si>
  <si>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</si>
  <si>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</si>
  <si>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</si>
  <si>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</si>
  <si>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</si>
  <si>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</si>
  <si>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</si>
  <si>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</si>
  <si>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</si>
  <si>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</si>
  <si>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</si>
  <si>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</si>
  <si>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</si>
  <si>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</si>
  <si>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</si>
  <si>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</si>
  <si>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</si>
  <si>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</si>
  <si>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</si>
  <si>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</si>
  <si>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</si>
  <si>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</si>
  <si>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</si>
  <si>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</si>
  <si>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</si>
  <si>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</si>
  <si>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</si>
  <si>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</si>
  <si>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</si>
  <si>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</si>
  <si>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</si>
  <si>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</si>
  <si>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</si>
  <si>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</si>
  <si>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</si>
  <si>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</si>
  <si>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</si>
  <si>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</si>
  <si>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</si>
  <si>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</si>
  <si>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</si>
  <si>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</si>
  <si>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</si>
  <si>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</si>
  <si>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</si>
  <si>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</si>
  <si>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</si>
  <si>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</si>
  <si>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</si>
  <si>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</si>
  <si>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</si>
  <si>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</si>
  <si>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</si>
  <si>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</si>
  <si>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</si>
  <si>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</si>
  <si>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</si>
  <si>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</si>
  <si>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</si>
  <si>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</si>
  <si>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</si>
  <si>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</si>
  <si>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</si>
  <si>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</si>
  <si>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</si>
  <si>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</si>
  <si>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</si>
  <si>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</si>
  <si>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</si>
  <si>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</si>
  <si>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</si>
  <si>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</si>
  <si>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</si>
  <si>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</si>
  <si>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</si>
  <si>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</si>
  <si>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</si>
  <si>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</si>
  <si>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</si>
  <si>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</si>
  <si>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</si>
  <si>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</si>
  <si>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</si>
  <si>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</si>
  <si>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</si>
  <si>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</si>
  <si>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</si>
  <si>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</si>
  <si>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</si>
  <si>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</si>
  <si>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</si>
  <si>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</si>
  <si>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</si>
  <si>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</si>
  <si>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</si>
  <si>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</si>
  <si>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</si>
  <si>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</si>
  <si>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</si>
  <si>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</si>
  <si>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</si>
  <si>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</si>
  <si>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</si>
  <si>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</si>
  <si>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</si>
  <si>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</si>
  <si>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</si>
  <si>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</si>
  <si>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</si>
  <si>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</si>
  <si>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</si>
  <si>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</si>
  <si>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</si>
  <si>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</si>
  <si>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</si>
  <si>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</si>
  <si>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</si>
  <si>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</si>
  <si>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</si>
  <si>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</si>
  <si>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</si>
  <si>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</si>
  <si>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</si>
  <si>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</si>
  <si>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</si>
  <si>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</si>
  <si>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</si>
  <si>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</si>
  <si>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</si>
  <si>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</si>
  <si>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</si>
  <si>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</si>
  <si>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</si>
  <si>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</si>
  <si>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</si>
  <si>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</si>
  <si>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</si>
  <si>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</si>
  <si>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</si>
  <si>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</si>
  <si>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</si>
  <si>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</si>
  <si>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</si>
  <si>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</si>
  <si>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</si>
  <si>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</si>
  <si>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</si>
  <si>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</si>
  <si>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</si>
  <si>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</si>
  <si>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</si>
  <si>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</si>
  <si>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</si>
  <si>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</si>
  <si>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</si>
  <si>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</si>
  <si>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</si>
  <si>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</si>
  <si>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</si>
  <si>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</si>
  <si>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</si>
  <si>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</si>
  <si>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</si>
  <si>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</si>
  <si>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</si>
  <si>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</si>
  <si>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</si>
  <si>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</si>
  <si>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</si>
  <si>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</si>
  <si>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</si>
  <si>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</si>
  <si>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</si>
  <si>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</si>
  <si>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</si>
  <si>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</si>
  <si>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</si>
  <si>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</si>
  <si>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</si>
  <si>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</si>
  <si>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</si>
  <si>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</si>
  <si>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</si>
  <si>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</si>
  <si>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</si>
  <si>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</si>
  <si>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</si>
  <si>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</si>
  <si>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</si>
  <si>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</si>
  <si>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</si>
  <si>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</si>
  <si>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</si>
  <si>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</si>
  <si>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</si>
  <si>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</si>
  <si>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</si>
  <si>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</si>
  <si>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</si>
  <si>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</si>
  <si>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</si>
  <si>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</si>
  <si>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</si>
  <si>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</si>
  <si>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</si>
  <si>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</si>
  <si>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</si>
  <si>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</si>
  <si>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</si>
  <si>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</si>
  <si>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</si>
  <si>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</si>
  <si>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</si>
  <si>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</si>
  <si>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</si>
  <si>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</si>
  <si>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</si>
  <si>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</si>
  <si>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</si>
  <si>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</si>
  <si>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</si>
  <si>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</si>
  <si>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</si>
  <si>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</si>
  <si>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</si>
  <si>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</si>
  <si>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</si>
  <si>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</si>
  <si>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</si>
  <si>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</si>
  <si>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</si>
  <si>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</si>
  <si>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</si>
  <si>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</si>
  <si>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</si>
  <si>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</si>
  <si>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</si>
  <si>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</si>
  <si>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</si>
  <si>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</si>
  <si>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</si>
  <si>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</si>
  <si>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</si>
  <si>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</si>
  <si>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</si>
  <si>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</si>
  <si>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</si>
  <si>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</si>
  <si>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</si>
  <si>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</si>
  <si>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</si>
  <si>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</si>
  <si>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</si>
  <si>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</si>
  <si>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</si>
  <si>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</si>
  <si>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</si>
  <si>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</si>
  <si>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</si>
  <si>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</si>
  <si>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</si>
  <si>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</si>
  <si>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</si>
  <si>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</si>
  <si>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</si>
  <si>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</si>
  <si>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</si>
  <si>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</si>
  <si>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</si>
  <si>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</si>
  <si>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</si>
  <si>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</si>
  <si>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</si>
  <si>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</si>
  <si>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</si>
  <si>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</si>
  <si>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</si>
  <si>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</si>
  <si>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</si>
  <si>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</si>
  <si>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</si>
  <si>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</si>
  <si>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</si>
  <si>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</si>
  <si>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</si>
  <si>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</si>
  <si>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</si>
  <si>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</si>
  <si>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</si>
  <si>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</si>
  <si>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</si>
  <si>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</si>
  <si>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</si>
  <si>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</si>
  <si>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</si>
  <si>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</si>
  <si>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</si>
  <si>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</si>
  <si>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</si>
  <si>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</si>
  <si>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</si>
  <si>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</si>
  <si>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</si>
  <si>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</si>
  <si>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</si>
  <si>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</si>
  <si>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</si>
  <si>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</si>
  <si>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</si>
  <si>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</si>
  <si>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</si>
  <si>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</si>
  <si>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</si>
  <si>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</si>
  <si>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</si>
  <si>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</si>
  <si>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</si>
  <si>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</si>
  <si>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</si>
  <si>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</si>
  <si>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</si>
  <si>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</si>
  <si>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</si>
  <si>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</si>
  <si>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</si>
  <si>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</si>
  <si>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</si>
  <si>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</si>
  <si>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</si>
  <si>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</si>
  <si>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</si>
  <si>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</si>
  <si>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</si>
  <si>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</si>
  <si>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</si>
  <si>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</si>
  <si>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</si>
  <si>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</si>
  <si>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</si>
  <si>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</si>
  <si>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</si>
  <si>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</si>
  <si>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</si>
  <si>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</si>
  <si>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</si>
  <si>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</si>
  <si>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</si>
  <si>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</si>
  <si>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</si>
  <si>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</si>
  <si>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</si>
  <si>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</si>
  <si>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</si>
  <si>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</si>
  <si>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</si>
  <si>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</si>
  <si>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</si>
  <si>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</si>
  <si>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</si>
  <si>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</si>
  <si>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</si>
  <si>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</si>
  <si>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</si>
  <si>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</si>
  <si>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</si>
  <si>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</si>
  <si>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</si>
  <si>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</si>
  <si>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</si>
  <si>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</si>
  <si>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</si>
  <si>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</si>
  <si>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</si>
  <si>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</si>
  <si>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</si>
  <si>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</si>
  <si>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</si>
  <si>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</si>
  <si>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</si>
  <si>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</si>
  <si>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</si>
  <si>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</si>
  <si>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</si>
  <si>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</si>
  <si>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</si>
  <si>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</si>
  <si>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</si>
  <si>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</si>
  <si>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</si>
  <si>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</si>
  <si>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</si>
  <si>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</si>
  <si>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</si>
  <si>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</si>
  <si>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</si>
  <si>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</si>
  <si>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</si>
  <si>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</si>
  <si>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</si>
  <si>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</si>
  <si>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</si>
  <si>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</si>
  <si>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</si>
  <si>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</si>
  <si>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</si>
  <si>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</si>
  <si>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</si>
  <si>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</si>
  <si>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</si>
  <si>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</si>
  <si>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</si>
  <si>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</si>
  <si>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</si>
  <si>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</si>
  <si>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</si>
  <si>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</si>
  <si>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</si>
  <si>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</si>
  <si>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</si>
  <si>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</si>
  <si>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</si>
  <si>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</si>
  <si>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</si>
  <si>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</si>
  <si>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</si>
  <si>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</si>
  <si>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</si>
  <si>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</si>
  <si>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</si>
  <si>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</si>
  <si>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</si>
  <si>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</si>
  <si>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</si>
  <si>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</si>
  <si>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</si>
  <si>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</si>
  <si>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</si>
  <si>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</si>
  <si>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</si>
  <si>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</si>
  <si>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</si>
  <si>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</si>
  <si>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</si>
  <si>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</si>
  <si>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</si>
  <si>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</si>
  <si>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</si>
  <si>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</si>
  <si>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</si>
  <si>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</si>
  <si>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</si>
  <si>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</si>
  <si>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</si>
  <si>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</si>
  <si>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</si>
  <si>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</si>
  <si>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</si>
  <si>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</si>
  <si>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</si>
  <si>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</si>
  <si>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</si>
  <si>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</si>
  <si>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</si>
  <si>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</si>
  <si>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</si>
  <si>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</si>
  <si>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</si>
  <si>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HOPKINTON SCHOOL DISTRICT</t>
  </si>
  <si>
    <t>5/07</t>
  </si>
  <si>
    <t>8/17</t>
  </si>
  <si>
    <t>3.50 - 5.0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</si>
</sst>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5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263</v>
      </c>
      <c r="C2" s="21">
        <v>263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2127915</v>
      </c>
      <c r="G9" s="18">
        <v>100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240544</v>
      </c>
      <c r="G10" s="18"/>
      <c r="H10" s="18"/>
      <c r="I10" s="18"/>
      <c r="J10" s="67">
        <f>SUM(I440)</f>
        <v>483787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17445</v>
      </c>
      <c r="G12" s="18">
        <v>7954</v>
      </c>
      <c r="H12" s="18">
        <v>51657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19079</v>
      </c>
      <c r="G13" s="18">
        <v>3234</v>
      </c>
      <c r="H13" s="18">
        <v>80717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16396</v>
      </c>
      <c r="G14" s="18">
        <v>84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15284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2436663</v>
      </c>
      <c r="G19" s="41">
        <f>SUM(G9:G18)</f>
        <v>11372</v>
      </c>
      <c r="H19" s="41">
        <f>SUM(H9:H18)</f>
        <v>132374</v>
      </c>
      <c r="I19" s="41">
        <f>SUM(I9:I18)</f>
        <v>0</v>
      </c>
      <c r="J19" s="41">
        <f>SUM(J9:J18)</f>
        <v>483787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77056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14880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141485</v>
      </c>
      <c r="G24" s="18">
        <v>265</v>
      </c>
      <c r="H24" s="18">
        <f>2872+3033</f>
        <v>5905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57597</v>
      </c>
      <c r="G28" s="18"/>
      <c r="H28" s="18">
        <v>789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1213322</v>
      </c>
      <c r="G30" s="18">
        <v>11107</v>
      </c>
      <c r="H30" s="18">
        <v>48624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1412404</v>
      </c>
      <c r="G32" s="41">
        <f>SUM(G22:G31)</f>
        <v>11372</v>
      </c>
      <c r="H32" s="41">
        <f>SUM(H22:H31)</f>
        <v>132374</v>
      </c>
      <c r="I32" s="41">
        <f>SUM(I22:I31)</f>
        <v>0</v>
      </c>
      <c r="J32" s="41">
        <f>SUM(J22:J31)</f>
        <v>14880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15284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301061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468907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103764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544150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1024259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468907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2436663</v>
      </c>
      <c r="G52" s="41">
        <f>G51+G32</f>
        <v>11372</v>
      </c>
      <c r="H52" s="41">
        <f>H51+H32</f>
        <v>132374</v>
      </c>
      <c r="I52" s="41">
        <f>I51+I32</f>
        <v>0</v>
      </c>
      <c r="J52" s="41">
        <f>J51+J32</f>
        <v>483787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12901915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12901915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23947+28910</f>
        <v>52857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790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2148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55795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193</v>
      </c>
      <c r="G96" s="18"/>
      <c r="H96" s="18"/>
      <c r="I96" s="18"/>
      <c r="J96" s="18">
        <v>881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1373+35935+1587+6720+280+672+24006+5494+12522+396+20+41931+10367+46278+266+4982-1</f>
        <v>192828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14015+25641</f>
        <v>39656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5093</v>
      </c>
      <c r="G101" s="18"/>
      <c r="H101" s="18">
        <f>7084+3230</f>
        <v>10314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2882+1225+1500+779+1181+364-8+2186+2055+370+125+149+10518+7380-1</f>
        <v>30705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178018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11900+17380</f>
        <v>29280</v>
      </c>
      <c r="G110" s="18"/>
      <c r="H110" s="18">
        <f>7100+500+290+283+1676</f>
        <v>9849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252240</v>
      </c>
      <c r="G111" s="41">
        <f>SUM(G96:G110)</f>
        <v>192828</v>
      </c>
      <c r="H111" s="41">
        <f>SUM(H96:H110)</f>
        <v>50868</v>
      </c>
      <c r="I111" s="41">
        <f>SUM(I96:I110)</f>
        <v>0</v>
      </c>
      <c r="J111" s="41">
        <f>SUM(J96:J110)</f>
        <v>881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13209950</v>
      </c>
      <c r="G112" s="41">
        <f>G60+G111</f>
        <v>192828</v>
      </c>
      <c r="H112" s="41">
        <f>H60+H79+H94+H111</f>
        <v>50868</v>
      </c>
      <c r="I112" s="41">
        <f>I60+I111</f>
        <v>0</v>
      </c>
      <c r="J112" s="41">
        <f>J60+J111</f>
        <v>881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1923530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1463055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5646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3392231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156786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84868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4488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1070+87+744+148+970+233</f>
        <v>3252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4438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246142</v>
      </c>
      <c r="G136" s="41">
        <f>SUM(G123:G135)</f>
        <v>3252</v>
      </c>
      <c r="H136" s="41">
        <f>SUM(H123:H135)</f>
        <v>4438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3638373</v>
      </c>
      <c r="G140" s="41">
        <f>G121+SUM(G136:G137)</f>
        <v>3252</v>
      </c>
      <c r="H140" s="41">
        <f>H121+SUM(H136:H139)</f>
        <v>4438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7907+14195+871+38649</f>
        <v>61622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29337+2632+47823+7092+4147+1799-2</f>
        <v>92828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11838+16350+287+4752+14770+6424+17278+7066</f>
        <v>78765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4309+173916</f>
        <v>178225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223250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223250</v>
      </c>
      <c r="G162" s="41">
        <f>SUM(G150:G161)</f>
        <v>78765</v>
      </c>
      <c r="H162" s="41">
        <f>SUM(H150:H161)</f>
        <v>332675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223250</v>
      </c>
      <c r="G169" s="41">
        <f>G147+G162+SUM(G163:G168)</f>
        <v>78765</v>
      </c>
      <c r="H169" s="41">
        <f>H147+H162+SUM(H163:H168)</f>
        <v>332675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112648</v>
      </c>
      <c r="H179" s="18">
        <v>3480</v>
      </c>
      <c r="I179" s="18"/>
      <c r="J179" s="18">
        <v>110000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813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813</v>
      </c>
      <c r="G183" s="41">
        <f>SUM(G179:G182)</f>
        <v>112648</v>
      </c>
      <c r="H183" s="41">
        <f>SUM(H179:H182)</f>
        <v>3480</v>
      </c>
      <c r="I183" s="41">
        <f>SUM(I179:I182)</f>
        <v>0</v>
      </c>
      <c r="J183" s="41">
        <f>SUM(J179:J182)</f>
        <v>110000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813</v>
      </c>
      <c r="G192" s="41">
        <f>G183+SUM(G188:G191)</f>
        <v>112648</v>
      </c>
      <c r="H192" s="41">
        <f>+H183+SUM(H188:H191)</f>
        <v>3480</v>
      </c>
      <c r="I192" s="41">
        <f>I177+I183+SUM(I188:I191)</f>
        <v>0</v>
      </c>
      <c r="J192" s="41">
        <f>J183</f>
        <v>110000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17072386</v>
      </c>
      <c r="G193" s="47">
        <f>G112+G140+G169+G192</f>
        <v>387493</v>
      </c>
      <c r="H193" s="47">
        <f>H112+H140+H169+H192</f>
        <v>391461</v>
      </c>
      <c r="I193" s="47">
        <f>I112+I140+I169+I192</f>
        <v>0</v>
      </c>
      <c r="J193" s="47">
        <f>J112+J140+J192</f>
        <v>110881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2277798+105176+2</f>
        <v>2382976</v>
      </c>
      <c r="G197" s="18">
        <f>1066306+41482</f>
        <v>1107788</v>
      </c>
      <c r="H197" s="18">
        <f>784+8011</f>
        <v>8795</v>
      </c>
      <c r="I197" s="18">
        <f>39244+14579</f>
        <v>53823</v>
      </c>
      <c r="J197" s="18">
        <f>6979+5124</f>
        <v>12103</v>
      </c>
      <c r="K197" s="18">
        <f>1309+85</f>
        <v>1394</v>
      </c>
      <c r="L197" s="19">
        <f>SUM(F197:K197)</f>
        <v>3566879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1009111+22385</f>
        <v>1031496</v>
      </c>
      <c r="G198" s="18">
        <f>369373+4137</f>
        <v>373510</v>
      </c>
      <c r="H198" s="18">
        <f>5+141270+132711</f>
        <v>273986</v>
      </c>
      <c r="I198" s="18">
        <f>2353+6795</f>
        <v>9148</v>
      </c>
      <c r="J198" s="18">
        <f>246+780</f>
        <v>1026</v>
      </c>
      <c r="K198" s="18">
        <v>423</v>
      </c>
      <c r="L198" s="19">
        <f>SUM(F198:K198)</f>
        <v>1689589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10323</v>
      </c>
      <c r="G200" s="18">
        <v>2249</v>
      </c>
      <c r="H200" s="18"/>
      <c r="I200" s="18"/>
      <c r="J200" s="18"/>
      <c r="K200" s="18">
        <v>590</v>
      </c>
      <c r="L200" s="19">
        <f>SUM(F200:K200)</f>
        <v>13162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384588+124168</f>
        <v>508756</v>
      </c>
      <c r="G202" s="18">
        <f>199584+48697</f>
        <v>248281</v>
      </c>
      <c r="H202" s="18">
        <f>244+42876+713</f>
        <v>43833</v>
      </c>
      <c r="I202" s="18">
        <f>3750+1164</f>
        <v>4914</v>
      </c>
      <c r="J202" s="18">
        <f>3083+302</f>
        <v>3385</v>
      </c>
      <c r="K202" s="18"/>
      <c r="L202" s="19">
        <f t="shared" ref="L202:L208" si="0">SUM(F202:K202)</f>
        <v>809169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117482+27913</f>
        <v>145395</v>
      </c>
      <c r="G203" s="18">
        <f>33474+10187</f>
        <v>43661</v>
      </c>
      <c r="H203" s="18">
        <f>30149+5433+27362+22951</f>
        <v>85895</v>
      </c>
      <c r="I203" s="18">
        <f>24175+8148</f>
        <v>32323</v>
      </c>
      <c r="J203" s="18">
        <f>15777+30443</f>
        <v>46220</v>
      </c>
      <c r="K203" s="18">
        <f>2393+13433</f>
        <v>15826</v>
      </c>
      <c r="L203" s="19">
        <f t="shared" si="0"/>
        <v>369320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164810</v>
      </c>
      <c r="G204" s="18">
        <v>77750</v>
      </c>
      <c r="H204" s="18">
        <f>29168+994+10365</f>
        <v>40527</v>
      </c>
      <c r="I204" s="18">
        <v>4543</v>
      </c>
      <c r="J204" s="18">
        <v>41</v>
      </c>
      <c r="K204" s="18">
        <v>7915</v>
      </c>
      <c r="L204" s="19">
        <f t="shared" si="0"/>
        <v>295586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269298</v>
      </c>
      <c r="G205" s="18">
        <v>127760</v>
      </c>
      <c r="H205" s="18">
        <v>15748</v>
      </c>
      <c r="I205" s="18">
        <v>1833</v>
      </c>
      <c r="J205" s="18">
        <v>397</v>
      </c>
      <c r="K205" s="18">
        <v>1198</v>
      </c>
      <c r="L205" s="19">
        <f t="shared" si="0"/>
        <v>416234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104203</v>
      </c>
      <c r="G206" s="18">
        <v>41728</v>
      </c>
      <c r="H206" s="18">
        <v>3100</v>
      </c>
      <c r="I206" s="18">
        <v>10554</v>
      </c>
      <c r="J206" s="18"/>
      <c r="K206" s="18"/>
      <c r="L206" s="19">
        <f t="shared" si="0"/>
        <v>159585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215595+33082</f>
        <v>248677</v>
      </c>
      <c r="G207" s="18">
        <f>117573+11813</f>
        <v>129386</v>
      </c>
      <c r="H207" s="18">
        <f>80858+2432+530+16649</f>
        <v>100469</v>
      </c>
      <c r="I207" s="18">
        <f>125127+6215</f>
        <v>131342</v>
      </c>
      <c r="J207" s="18">
        <f>11580+31</f>
        <v>11611</v>
      </c>
      <c r="K207" s="18"/>
      <c r="L207" s="19">
        <f t="shared" si="0"/>
        <v>621485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2344+18635</f>
        <v>20979</v>
      </c>
      <c r="G208" s="18">
        <f>701+12344</f>
        <v>13045</v>
      </c>
      <c r="H208" s="18">
        <f>429+223059+2248+137739+3003</f>
        <v>366478</v>
      </c>
      <c r="I208" s="18">
        <f>647+2379</f>
        <v>3026</v>
      </c>
      <c r="J208" s="18"/>
      <c r="K208" s="18">
        <v>122</v>
      </c>
      <c r="L208" s="19">
        <f t="shared" si="0"/>
        <v>403650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93587</v>
      </c>
      <c r="G209" s="18">
        <v>41363</v>
      </c>
      <c r="H209" s="18">
        <v>207</v>
      </c>
      <c r="I209" s="18"/>
      <c r="J209" s="18"/>
      <c r="K209" s="18"/>
      <c r="L209" s="19">
        <f>SUM(F209:K209)</f>
        <v>135157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4980500</v>
      </c>
      <c r="G211" s="41">
        <f t="shared" si="1"/>
        <v>2206521</v>
      </c>
      <c r="H211" s="41">
        <f t="shared" si="1"/>
        <v>939038</v>
      </c>
      <c r="I211" s="41">
        <f t="shared" si="1"/>
        <v>251506</v>
      </c>
      <c r="J211" s="41">
        <f t="shared" si="1"/>
        <v>74783</v>
      </c>
      <c r="K211" s="41">
        <f t="shared" si="1"/>
        <v>27468</v>
      </c>
      <c r="L211" s="41">
        <f t="shared" si="1"/>
        <v>8479816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727600+9262</f>
        <v>736862</v>
      </c>
      <c r="G215" s="18">
        <f>326701+2179</f>
        <v>328880</v>
      </c>
      <c r="H215" s="18">
        <f>250+2690</f>
        <v>2940</v>
      </c>
      <c r="I215" s="18">
        <v>15632</v>
      </c>
      <c r="J215" s="18">
        <f>1542+1356</f>
        <v>2898</v>
      </c>
      <c r="K215" s="18">
        <v>526</v>
      </c>
      <c r="L215" s="19">
        <f>SUM(F215:K215)</f>
        <v>1087738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220155+7517</f>
        <v>227672</v>
      </c>
      <c r="G216" s="18">
        <f>107164+1389</f>
        <v>108553</v>
      </c>
      <c r="H216" s="18">
        <f>257+10228+338-4995</f>
        <v>5828</v>
      </c>
      <c r="I216" s="18">
        <f>753+2282</f>
        <v>3035</v>
      </c>
      <c r="J216" s="18">
        <f>219+262</f>
        <v>481</v>
      </c>
      <c r="K216" s="18">
        <v>142</v>
      </c>
      <c r="L216" s="19">
        <f>SUM(F216:K216)</f>
        <v>345711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39527</v>
      </c>
      <c r="G218" s="18">
        <v>11454</v>
      </c>
      <c r="H218" s="18">
        <v>10000</v>
      </c>
      <c r="I218" s="18">
        <v>2553</v>
      </c>
      <c r="J218" s="18"/>
      <c r="K218" s="18"/>
      <c r="L218" s="19">
        <f>SUM(F218:K218)</f>
        <v>63534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61746+41696</f>
        <v>103442</v>
      </c>
      <c r="G220" s="18">
        <f>24229+16353</f>
        <v>40582</v>
      </c>
      <c r="H220" s="18">
        <f>4383+239</f>
        <v>4622</v>
      </c>
      <c r="I220" s="18">
        <f>522+391</f>
        <v>913</v>
      </c>
      <c r="J220" s="18">
        <f>45+101</f>
        <v>146</v>
      </c>
      <c r="K220" s="18"/>
      <c r="L220" s="19">
        <f t="shared" ref="L220:L226" si="2">SUM(F220:K220)</f>
        <v>149705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27149+9373</f>
        <v>36522</v>
      </c>
      <c r="G221" s="18">
        <f>14893+3421</f>
        <v>18314</v>
      </c>
      <c r="H221" s="18">
        <f>8627+1824+9188+7707</f>
        <v>27346</v>
      </c>
      <c r="I221" s="18">
        <f>7720+2736</f>
        <v>10456</v>
      </c>
      <c r="J221" s="18">
        <f>12728+10223</f>
        <v>22951</v>
      </c>
      <c r="K221" s="18">
        <f>400+4511</f>
        <v>4911</v>
      </c>
      <c r="L221" s="19">
        <f t="shared" si="2"/>
        <v>120500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55343</v>
      </c>
      <c r="G222" s="18">
        <v>26109</v>
      </c>
      <c r="H222" s="18">
        <f>9794+334+3481</f>
        <v>13609</v>
      </c>
      <c r="I222" s="18">
        <v>1525</v>
      </c>
      <c r="J222" s="18">
        <v>14</v>
      </c>
      <c r="K222" s="18">
        <v>2658</v>
      </c>
      <c r="L222" s="19">
        <f t="shared" si="2"/>
        <v>99258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92533</v>
      </c>
      <c r="G223" s="18">
        <v>48538</v>
      </c>
      <c r="H223" s="18">
        <v>4857</v>
      </c>
      <c r="I223" s="18">
        <v>1313</v>
      </c>
      <c r="J223" s="18">
        <v>142</v>
      </c>
      <c r="K223" s="18">
        <v>1884</v>
      </c>
      <c r="L223" s="19">
        <f t="shared" si="2"/>
        <v>149267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34992</v>
      </c>
      <c r="G224" s="18">
        <v>14012</v>
      </c>
      <c r="H224" s="18">
        <v>1041</v>
      </c>
      <c r="I224" s="18">
        <v>3544</v>
      </c>
      <c r="J224" s="18"/>
      <c r="K224" s="18"/>
      <c r="L224" s="19">
        <f t="shared" si="2"/>
        <v>53589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41634+11109</f>
        <v>52743</v>
      </c>
      <c r="G225" s="18">
        <f>17689+3967</f>
        <v>21656</v>
      </c>
      <c r="H225" s="18">
        <f>16257+817+178+5591</f>
        <v>22843</v>
      </c>
      <c r="I225" s="18">
        <f>42854+2087</f>
        <v>44941</v>
      </c>
      <c r="J225" s="18">
        <f>1022+11</f>
        <v>1033</v>
      </c>
      <c r="K225" s="18"/>
      <c r="L225" s="19">
        <f t="shared" si="2"/>
        <v>143216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71+5734+185</f>
        <v>5990</v>
      </c>
      <c r="G226" s="18">
        <f>52+3798+35</f>
        <v>3885</v>
      </c>
      <c r="H226" s="18">
        <f>132+68634+692+9+12025+777</f>
        <v>82269</v>
      </c>
      <c r="I226" s="18">
        <f>199+732</f>
        <v>931</v>
      </c>
      <c r="J226" s="18"/>
      <c r="K226" s="18">
        <v>38</v>
      </c>
      <c r="L226" s="19">
        <f t="shared" si="2"/>
        <v>93113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31427</v>
      </c>
      <c r="G227" s="18">
        <v>13890</v>
      </c>
      <c r="H227" s="18">
        <v>69</v>
      </c>
      <c r="I227" s="18"/>
      <c r="J227" s="18"/>
      <c r="K227" s="18"/>
      <c r="L227" s="19">
        <f>SUM(F227:K227)</f>
        <v>45386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1417053</v>
      </c>
      <c r="G229" s="41">
        <f>SUM(G215:G228)</f>
        <v>635873</v>
      </c>
      <c r="H229" s="41">
        <f>SUM(H215:H228)</f>
        <v>175424</v>
      </c>
      <c r="I229" s="41">
        <f>SUM(I215:I228)</f>
        <v>84843</v>
      </c>
      <c r="J229" s="41">
        <f>SUM(J215:J228)</f>
        <v>27665</v>
      </c>
      <c r="K229" s="41">
        <f t="shared" si="3"/>
        <v>10159</v>
      </c>
      <c r="L229" s="41">
        <f t="shared" si="3"/>
        <v>2351017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1518318+21033</f>
        <v>1539351</v>
      </c>
      <c r="G233" s="18">
        <f>699412+4881</f>
        <v>704293</v>
      </c>
      <c r="H233" s="18">
        <f>9209+4802</f>
        <v>14011</v>
      </c>
      <c r="I233" s="18">
        <v>35285</v>
      </c>
      <c r="J233" s="18">
        <f>13958+2421</f>
        <v>16379</v>
      </c>
      <c r="K233" s="18">
        <v>3994</v>
      </c>
      <c r="L233" s="19">
        <f>SUM(F233:K233)</f>
        <v>2313313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495987+26445</f>
        <v>522432</v>
      </c>
      <c r="G234" s="18">
        <f>215673+3594</f>
        <v>219267</v>
      </c>
      <c r="H234" s="18">
        <f>10669+30925</f>
        <v>41594</v>
      </c>
      <c r="I234" s="18">
        <f>920+4073</f>
        <v>4993</v>
      </c>
      <c r="J234" s="18">
        <f>1122+468</f>
        <v>1590</v>
      </c>
      <c r="K234" s="18">
        <v>254</v>
      </c>
      <c r="L234" s="19">
        <f>SUM(F234:K234)</f>
        <v>790130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25897</v>
      </c>
      <c r="I235" s="18"/>
      <c r="J235" s="18"/>
      <c r="K235" s="18"/>
      <c r="L235" s="19">
        <f>SUM(F235:K235)</f>
        <v>25897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171593</v>
      </c>
      <c r="G236" s="18">
        <v>39863</v>
      </c>
      <c r="H236" s="18">
        <v>74073</v>
      </c>
      <c r="I236" s="18">
        <v>9924</v>
      </c>
      <c r="J236" s="18">
        <v>5634</v>
      </c>
      <c r="K236" s="18">
        <v>3350</v>
      </c>
      <c r="L236" s="19">
        <f>SUM(F236:K236)</f>
        <v>304437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229325+74430</f>
        <v>303755</v>
      </c>
      <c r="G238" s="18">
        <f>82160+29190</f>
        <v>111350</v>
      </c>
      <c r="H238" s="18">
        <f>162+2273+427</f>
        <v>2862</v>
      </c>
      <c r="I238" s="18">
        <f>3564+698</f>
        <v>4262</v>
      </c>
      <c r="J238" s="18">
        <f>105+181</f>
        <v>286</v>
      </c>
      <c r="K238" s="18">
        <v>25</v>
      </c>
      <c r="L238" s="19">
        <f t="shared" ref="L238:L244" si="4">SUM(F238:K238)</f>
        <v>422540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64410+16731</f>
        <v>81141</v>
      </c>
      <c r="G239" s="18">
        <f>34946+6106</f>
        <v>41052</v>
      </c>
      <c r="H239" s="18">
        <f>23648+3257+16401+13757</f>
        <v>57063</v>
      </c>
      <c r="I239" s="18">
        <f>19090+4884</f>
        <v>23974</v>
      </c>
      <c r="J239" s="18">
        <f>24336+18248</f>
        <v>42584</v>
      </c>
      <c r="K239" s="18">
        <f>4257+8052</f>
        <v>12309</v>
      </c>
      <c r="L239" s="19">
        <f t="shared" si="4"/>
        <v>258123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98791</v>
      </c>
      <c r="G240" s="18">
        <v>46605</v>
      </c>
      <c r="H240" s="18">
        <f>17484+596+6213</f>
        <v>24293</v>
      </c>
      <c r="I240" s="18">
        <v>2723</v>
      </c>
      <c r="J240" s="18">
        <v>25</v>
      </c>
      <c r="K240" s="18">
        <v>4744</v>
      </c>
      <c r="L240" s="19">
        <f t="shared" si="4"/>
        <v>177181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186194</v>
      </c>
      <c r="G241" s="18">
        <v>89887</v>
      </c>
      <c r="H241" s="18">
        <v>11841</v>
      </c>
      <c r="I241" s="18">
        <v>10847</v>
      </c>
      <c r="J241" s="18">
        <v>331</v>
      </c>
      <c r="K241" s="18">
        <v>4460</v>
      </c>
      <c r="L241" s="19">
        <f t="shared" si="4"/>
        <v>303560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62462</v>
      </c>
      <c r="G242" s="18">
        <v>25013</v>
      </c>
      <c r="H242" s="18">
        <v>1858</v>
      </c>
      <c r="I242" s="18">
        <v>6326</v>
      </c>
      <c r="J242" s="18"/>
      <c r="K242" s="18"/>
      <c r="L242" s="19">
        <f t="shared" si="4"/>
        <v>95659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154374+19830</f>
        <v>174204</v>
      </c>
      <c r="G243" s="18">
        <f>55229+7081</f>
        <v>62310</v>
      </c>
      <c r="H243" s="18">
        <f>29868+1458+318+9980</f>
        <v>41624</v>
      </c>
      <c r="I243" s="18">
        <f>99416+3725</f>
        <v>103141</v>
      </c>
      <c r="J243" s="18">
        <f>3700+19</f>
        <v>3719</v>
      </c>
      <c r="K243" s="18"/>
      <c r="L243" s="19">
        <f t="shared" si="4"/>
        <v>384998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124+11467+185</f>
        <v>11776</v>
      </c>
      <c r="G244" s="18">
        <f>96+7596+35</f>
        <v>7727</v>
      </c>
      <c r="H244" s="18">
        <f>264+137267+1383+18+42097+22220+2012</f>
        <v>205261</v>
      </c>
      <c r="I244" s="18">
        <f>398+1464</f>
        <v>1862</v>
      </c>
      <c r="J244" s="18"/>
      <c r="K244" s="18">
        <v>75</v>
      </c>
      <c r="L244" s="19">
        <f t="shared" si="4"/>
        <v>226701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56098</v>
      </c>
      <c r="G245" s="18">
        <v>24794</v>
      </c>
      <c r="H245" s="18">
        <v>124</v>
      </c>
      <c r="I245" s="18"/>
      <c r="J245" s="18"/>
      <c r="K245" s="18"/>
      <c r="L245" s="19">
        <f>SUM(F245:K245)</f>
        <v>81016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3207797</v>
      </c>
      <c r="G247" s="41">
        <f t="shared" si="5"/>
        <v>1372161</v>
      </c>
      <c r="H247" s="41">
        <f t="shared" si="5"/>
        <v>500501</v>
      </c>
      <c r="I247" s="41">
        <f t="shared" si="5"/>
        <v>203337</v>
      </c>
      <c r="J247" s="41">
        <f t="shared" si="5"/>
        <v>70548</v>
      </c>
      <c r="K247" s="41">
        <f t="shared" si="5"/>
        <v>29211</v>
      </c>
      <c r="L247" s="41">
        <f t="shared" si="5"/>
        <v>5383555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34229</v>
      </c>
      <c r="I255" s="18"/>
      <c r="J255" s="18"/>
      <c r="K255" s="18"/>
      <c r="L255" s="19">
        <f t="shared" si="6"/>
        <v>34229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34229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34229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9605350</v>
      </c>
      <c r="G257" s="41">
        <f t="shared" si="8"/>
        <v>4214555</v>
      </c>
      <c r="H257" s="41">
        <f t="shared" si="8"/>
        <v>1649192</v>
      </c>
      <c r="I257" s="41">
        <f t="shared" si="8"/>
        <v>539686</v>
      </c>
      <c r="J257" s="41">
        <f t="shared" si="8"/>
        <v>172996</v>
      </c>
      <c r="K257" s="41">
        <f t="shared" si="8"/>
        <v>66838</v>
      </c>
      <c r="L257" s="41">
        <f t="shared" si="8"/>
        <v>16248617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490000</v>
      </c>
      <c r="L260" s="19">
        <f>SUM(F260:K260)</f>
        <v>490000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58700</v>
      </c>
      <c r="L261" s="19">
        <f>SUM(F261:K261)</f>
        <v>58700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112648</v>
      </c>
      <c r="L263" s="19">
        <f>SUM(F263:K263)</f>
        <v>112648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3480</v>
      </c>
      <c r="L264" s="19">
        <f t="shared" ref="L264:L270" si="9">SUM(F264:K264)</f>
        <v>3480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110000</v>
      </c>
      <c r="L266" s="19">
        <f t="shared" si="9"/>
        <v>110000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4995</v>
      </c>
      <c r="L268" s="19">
        <f t="shared" si="9"/>
        <v>4995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779823</v>
      </c>
      <c r="L270" s="41">
        <f t="shared" si="9"/>
        <v>779823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9605350</v>
      </c>
      <c r="G271" s="42">
        <f t="shared" si="11"/>
        <v>4214555</v>
      </c>
      <c r="H271" s="42">
        <f t="shared" si="11"/>
        <v>1649192</v>
      </c>
      <c r="I271" s="42">
        <f t="shared" si="11"/>
        <v>539686</v>
      </c>
      <c r="J271" s="42">
        <f t="shared" si="11"/>
        <v>172996</v>
      </c>
      <c r="K271" s="42">
        <f t="shared" si="11"/>
        <v>846661</v>
      </c>
      <c r="L271" s="42">
        <f t="shared" si="11"/>
        <v>17028440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25829+1414</f>
        <v>27243</v>
      </c>
      <c r="G276" s="18">
        <f>15398+337</f>
        <v>15735</v>
      </c>
      <c r="H276" s="18">
        <f>7667</f>
        <v>7667</v>
      </c>
      <c r="I276" s="18">
        <f>10630+7454</f>
        <v>18084</v>
      </c>
      <c r="J276" s="18">
        <f>400+9591</f>
        <v>9991</v>
      </c>
      <c r="K276" s="18">
        <v>2976</v>
      </c>
      <c r="L276" s="19">
        <f>SUM(F276:K276)</f>
        <v>81696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51780</v>
      </c>
      <c r="G277" s="18">
        <v>23605</v>
      </c>
      <c r="H277" s="18">
        <v>5705</v>
      </c>
      <c r="I277" s="18">
        <v>3195</v>
      </c>
      <c r="J277" s="18">
        <v>4119</v>
      </c>
      <c r="K277" s="18"/>
      <c r="L277" s="19">
        <f>SUM(F277:K277)</f>
        <v>88404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756</v>
      </c>
      <c r="J281" s="18">
        <v>961</v>
      </c>
      <c r="K281" s="18"/>
      <c r="L281" s="19">
        <f t="shared" ref="L281:L287" si="12">SUM(F281:K281)</f>
        <v>1717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9622</v>
      </c>
      <c r="G282" s="18">
        <v>2196</v>
      </c>
      <c r="H282" s="18">
        <f>23928+6115</f>
        <v>30043</v>
      </c>
      <c r="I282" s="18">
        <v>1181</v>
      </c>
      <c r="J282" s="18"/>
      <c r="K282" s="18">
        <v>517</v>
      </c>
      <c r="L282" s="19">
        <f t="shared" si="12"/>
        <v>43559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>
        <v>258</v>
      </c>
      <c r="J283" s="18"/>
      <c r="K283" s="18"/>
      <c r="L283" s="19">
        <f t="shared" si="12"/>
        <v>258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331</v>
      </c>
      <c r="I287" s="18"/>
      <c r="J287" s="18"/>
      <c r="K287" s="18">
        <v>991</v>
      </c>
      <c r="L287" s="19">
        <f t="shared" si="12"/>
        <v>1322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88645</v>
      </c>
      <c r="G290" s="42">
        <f t="shared" si="13"/>
        <v>41536</v>
      </c>
      <c r="H290" s="42">
        <f t="shared" si="13"/>
        <v>43746</v>
      </c>
      <c r="I290" s="42">
        <f t="shared" si="13"/>
        <v>23474</v>
      </c>
      <c r="J290" s="42">
        <f t="shared" si="13"/>
        <v>15071</v>
      </c>
      <c r="K290" s="42">
        <f t="shared" si="13"/>
        <v>4484</v>
      </c>
      <c r="L290" s="41">
        <f t="shared" si="13"/>
        <v>216956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470</v>
      </c>
      <c r="I295" s="18">
        <f>1401+2700</f>
        <v>4101</v>
      </c>
      <c r="J295" s="18"/>
      <c r="K295" s="18">
        <v>3648</v>
      </c>
      <c r="L295" s="19">
        <f>SUM(F295:K295)</f>
        <v>8219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48970</v>
      </c>
      <c r="G296" s="18">
        <v>17006</v>
      </c>
      <c r="H296" s="18">
        <v>1916</v>
      </c>
      <c r="I296" s="18">
        <v>1073</v>
      </c>
      <c r="J296" s="18">
        <v>1383</v>
      </c>
      <c r="K296" s="18"/>
      <c r="L296" s="19">
        <f>SUM(F296:K296)</f>
        <v>70348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254</v>
      </c>
      <c r="J300" s="18"/>
      <c r="K300" s="18"/>
      <c r="L300" s="19">
        <f t="shared" ref="L300:L306" si="14">SUM(F300:K300)</f>
        <v>254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3231</v>
      </c>
      <c r="G301" s="18">
        <v>737</v>
      </c>
      <c r="H301" s="18">
        <f>11344+1999</f>
        <v>13343</v>
      </c>
      <c r="I301" s="18">
        <f>760+180</f>
        <v>940</v>
      </c>
      <c r="J301" s="18">
        <v>102</v>
      </c>
      <c r="K301" s="18">
        <v>174</v>
      </c>
      <c r="L301" s="19">
        <f t="shared" si="14"/>
        <v>18527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>
        <v>87</v>
      </c>
      <c r="J302" s="18"/>
      <c r="K302" s="18"/>
      <c r="L302" s="19">
        <f t="shared" si="14"/>
        <v>87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52201</v>
      </c>
      <c r="G309" s="42">
        <f t="shared" si="15"/>
        <v>17743</v>
      </c>
      <c r="H309" s="42">
        <f t="shared" si="15"/>
        <v>15729</v>
      </c>
      <c r="I309" s="42">
        <f t="shared" si="15"/>
        <v>6455</v>
      </c>
      <c r="J309" s="42">
        <f t="shared" si="15"/>
        <v>1485</v>
      </c>
      <c r="K309" s="42">
        <f t="shared" si="15"/>
        <v>3822</v>
      </c>
      <c r="L309" s="41">
        <f t="shared" si="15"/>
        <v>97435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836</v>
      </c>
      <c r="I314" s="18">
        <f>2501+4800</f>
        <v>7301</v>
      </c>
      <c r="J314" s="18"/>
      <c r="K314" s="18">
        <v>6486</v>
      </c>
      <c r="L314" s="19">
        <f>SUM(F314:K314)</f>
        <v>14623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11837</v>
      </c>
      <c r="G315" s="18">
        <v>5132</v>
      </c>
      <c r="H315" s="18">
        <v>3420</v>
      </c>
      <c r="I315" s="18">
        <v>1915</v>
      </c>
      <c r="J315" s="18">
        <v>2469</v>
      </c>
      <c r="K315" s="18"/>
      <c r="L315" s="19">
        <f>SUM(F315:K315)</f>
        <v>24773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453</v>
      </c>
      <c r="J319" s="18"/>
      <c r="K319" s="18"/>
      <c r="L319" s="19">
        <f t="shared" ref="L319:L325" si="16">SUM(F319:K319)</f>
        <v>453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5768</v>
      </c>
      <c r="G320" s="18">
        <v>1316</v>
      </c>
      <c r="H320" s="18">
        <f>20166+3645</f>
        <v>23811</v>
      </c>
      <c r="I320" s="18">
        <f>1352+319</f>
        <v>1671</v>
      </c>
      <c r="J320" s="18">
        <v>181</v>
      </c>
      <c r="K320" s="18">
        <v>310</v>
      </c>
      <c r="L320" s="19">
        <f t="shared" si="16"/>
        <v>33057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>
        <v>155</v>
      </c>
      <c r="J321" s="18"/>
      <c r="K321" s="18"/>
      <c r="L321" s="19">
        <f t="shared" si="16"/>
        <v>155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17605</v>
      </c>
      <c r="G328" s="42">
        <f t="shared" si="17"/>
        <v>6448</v>
      </c>
      <c r="H328" s="42">
        <f t="shared" si="17"/>
        <v>28067</v>
      </c>
      <c r="I328" s="42">
        <f t="shared" si="17"/>
        <v>11495</v>
      </c>
      <c r="J328" s="42">
        <f t="shared" si="17"/>
        <v>2650</v>
      </c>
      <c r="K328" s="42">
        <f t="shared" si="17"/>
        <v>6796</v>
      </c>
      <c r="L328" s="41">
        <f t="shared" si="17"/>
        <v>73061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2317</v>
      </c>
      <c r="J335" s="18"/>
      <c r="K335" s="18">
        <v>879</v>
      </c>
      <c r="L335" s="19">
        <f t="shared" si="18"/>
        <v>3196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2317</v>
      </c>
      <c r="J337" s="41">
        <f t="shared" si="19"/>
        <v>0</v>
      </c>
      <c r="K337" s="41">
        <f t="shared" si="19"/>
        <v>879</v>
      </c>
      <c r="L337" s="41">
        <f t="shared" si="18"/>
        <v>3196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158451</v>
      </c>
      <c r="G338" s="41">
        <f t="shared" si="20"/>
        <v>65727</v>
      </c>
      <c r="H338" s="41">
        <f t="shared" si="20"/>
        <v>87542</v>
      </c>
      <c r="I338" s="41">
        <f t="shared" si="20"/>
        <v>43741</v>
      </c>
      <c r="J338" s="41">
        <f t="shared" si="20"/>
        <v>19206</v>
      </c>
      <c r="K338" s="41">
        <f t="shared" si="20"/>
        <v>15981</v>
      </c>
      <c r="L338" s="41">
        <f t="shared" si="20"/>
        <v>390648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813</v>
      </c>
      <c r="L344" s="19">
        <f t="shared" ref="L344:L350" si="21">SUM(F344:K344)</f>
        <v>813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813</v>
      </c>
      <c r="L351" s="41">
        <f>SUM(L341:L350)</f>
        <v>813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158451</v>
      </c>
      <c r="G352" s="41">
        <f>G338</f>
        <v>65727</v>
      </c>
      <c r="H352" s="41">
        <f>H338</f>
        <v>87542</v>
      </c>
      <c r="I352" s="41">
        <f>I338</f>
        <v>43741</v>
      </c>
      <c r="J352" s="41">
        <f>J338</f>
        <v>19206</v>
      </c>
      <c r="K352" s="47">
        <f>K338+K351</f>
        <v>16794</v>
      </c>
      <c r="L352" s="41">
        <f>L338+L351</f>
        <v>391461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20466+63578</f>
        <v>84044</v>
      </c>
      <c r="G358" s="18">
        <f>18871+16177</f>
        <v>35048</v>
      </c>
      <c r="H358" s="18">
        <f>1317+769</f>
        <v>2086</v>
      </c>
      <c r="I358" s="18">
        <f>6956+68760</f>
        <v>75716</v>
      </c>
      <c r="J358" s="18">
        <v>0</v>
      </c>
      <c r="K358" s="18">
        <f>440+38</f>
        <v>478</v>
      </c>
      <c r="L358" s="13">
        <f>SUM(F358:K358)</f>
        <v>197372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19533+6691</f>
        <v>26224</v>
      </c>
      <c r="G359" s="18">
        <f>9186+5289</f>
        <v>14475</v>
      </c>
      <c r="H359" s="18">
        <f>251+746</f>
        <v>997</v>
      </c>
      <c r="I359" s="18">
        <f>23062+2274</f>
        <v>25336</v>
      </c>
      <c r="J359" s="18">
        <v>1012</v>
      </c>
      <c r="K359" s="18">
        <f>14+144</f>
        <v>158</v>
      </c>
      <c r="L359" s="19">
        <f>SUM(F359:K359)</f>
        <v>68202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157194-110268</f>
        <v>46926</v>
      </c>
      <c r="G360" s="18">
        <f>75496-49523</f>
        <v>25973</v>
      </c>
      <c r="H360" s="18">
        <f>4869-3083</f>
        <v>1786</v>
      </c>
      <c r="I360" s="18">
        <f>146199-101052</f>
        <v>45147</v>
      </c>
      <c r="J360" s="18">
        <v>1800</v>
      </c>
      <c r="K360" s="18">
        <v>287</v>
      </c>
      <c r="L360" s="19">
        <f>SUM(F360:K360)</f>
        <v>121919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157194</v>
      </c>
      <c r="G362" s="47">
        <f t="shared" si="22"/>
        <v>75496</v>
      </c>
      <c r="H362" s="47">
        <f t="shared" si="22"/>
        <v>4869</v>
      </c>
      <c r="I362" s="47">
        <f t="shared" si="22"/>
        <v>146199</v>
      </c>
      <c r="J362" s="47">
        <f t="shared" si="22"/>
        <v>2812</v>
      </c>
      <c r="K362" s="47">
        <f t="shared" si="22"/>
        <v>923</v>
      </c>
      <c r="L362" s="47">
        <f t="shared" si="22"/>
        <v>387493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31470+21765+6156</f>
        <v>59391</v>
      </c>
      <c r="G367" s="18">
        <f>2012+20180</f>
        <v>22192</v>
      </c>
      <c r="H367" s="18">
        <f>121129-81583</f>
        <v>39546</v>
      </c>
      <c r="I367" s="56">
        <f>SUM(F367:H367)</f>
        <v>121129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16325</v>
      </c>
      <c r="G368" s="63">
        <v>3144</v>
      </c>
      <c r="H368" s="63">
        <v>5601</v>
      </c>
      <c r="I368" s="56">
        <f>SUM(F368:H368)</f>
        <v>25070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75716</v>
      </c>
      <c r="G369" s="47">
        <f>SUM(G367:G368)</f>
        <v>25336</v>
      </c>
      <c r="H369" s="47">
        <f>SUM(H367:H368)</f>
        <v>45147</v>
      </c>
      <c r="I369" s="47">
        <f>SUM(I367:I368)</f>
        <v>146199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100000</v>
      </c>
      <c r="H389" s="18">
        <v>562</v>
      </c>
      <c r="I389" s="18"/>
      <c r="J389" s="24" t="s">
        <v>289</v>
      </c>
      <c r="K389" s="24" t="s">
        <v>289</v>
      </c>
      <c r="L389" s="56">
        <f t="shared" si="25"/>
        <v>100562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10000</v>
      </c>
      <c r="H392" s="18">
        <v>138</v>
      </c>
      <c r="I392" s="18"/>
      <c r="J392" s="24" t="s">
        <v>289</v>
      </c>
      <c r="K392" s="24" t="s">
        <v>289</v>
      </c>
      <c r="L392" s="56">
        <f t="shared" si="25"/>
        <v>10138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110000</v>
      </c>
      <c r="H393" s="139">
        <f>SUM(H387:H392)</f>
        <v>700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110700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45</v>
      </c>
      <c r="I395" s="18"/>
      <c r="J395" s="24" t="s">
        <v>289</v>
      </c>
      <c r="K395" s="24" t="s">
        <v>289</v>
      </c>
      <c r="L395" s="56">
        <f t="shared" ref="L395:L400" si="26">SUM(F395:K395)</f>
        <v>45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136</v>
      </c>
      <c r="I397" s="18"/>
      <c r="J397" s="24" t="s">
        <v>289</v>
      </c>
      <c r="K397" s="24" t="s">
        <v>289</v>
      </c>
      <c r="L397" s="56">
        <f t="shared" si="26"/>
        <v>136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110000</v>
      </c>
      <c r="H408" s="47">
        <f>H393+H401+H407</f>
        <v>881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110881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>
        <v>42128</v>
      </c>
      <c r="K415" s="18"/>
      <c r="L415" s="56">
        <f t="shared" si="27"/>
        <v>42128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42128</v>
      </c>
      <c r="K419" s="139">
        <f t="shared" si="28"/>
        <v>0</v>
      </c>
      <c r="L419" s="47">
        <f t="shared" si="28"/>
        <v>42128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42128</v>
      </c>
      <c r="K434" s="47">
        <f t="shared" si="32"/>
        <v>0</v>
      </c>
      <c r="L434" s="47">
        <f t="shared" si="32"/>
        <v>42128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192908+45991</f>
        <v>238899</v>
      </c>
      <c r="G440" s="18">
        <f>169529+75359</f>
        <v>244888</v>
      </c>
      <c r="H440" s="18"/>
      <c r="I440" s="56">
        <f t="shared" si="33"/>
        <v>483787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238899</v>
      </c>
      <c r="G446" s="13">
        <f>SUM(G439:G445)</f>
        <v>244888</v>
      </c>
      <c r="H446" s="13">
        <f>SUM(H439:H445)</f>
        <v>0</v>
      </c>
      <c r="I446" s="13">
        <f>SUM(I439:I445)</f>
        <v>483787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14880</v>
      </c>
      <c r="G449" s="18"/>
      <c r="H449" s="18"/>
      <c r="I449" s="56">
        <f>SUM(F449:H449)</f>
        <v>14880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14880</v>
      </c>
      <c r="G452" s="72">
        <f>SUM(G448:G451)</f>
        <v>0</v>
      </c>
      <c r="H452" s="72">
        <f>SUM(H448:H451)</f>
        <v>0</v>
      </c>
      <c r="I452" s="72">
        <f>SUM(I448:I451)</f>
        <v>14880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238899-14880</f>
        <v>224019</v>
      </c>
      <c r="G459" s="18">
        <f>G440</f>
        <v>244888</v>
      </c>
      <c r="H459" s="18"/>
      <c r="I459" s="56">
        <f t="shared" si="34"/>
        <v>468907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224019</v>
      </c>
      <c r="G460" s="83">
        <f>SUM(G454:G459)</f>
        <v>244888</v>
      </c>
      <c r="H460" s="83">
        <f>SUM(H454:H459)</f>
        <v>0</v>
      </c>
      <c r="I460" s="83">
        <f>SUM(I454:I459)</f>
        <v>468907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238899</v>
      </c>
      <c r="G461" s="42">
        <f>G452+G460</f>
        <v>244888</v>
      </c>
      <c r="H461" s="42">
        <f>H452+H460</f>
        <v>0</v>
      </c>
      <c r="I461" s="42">
        <f>I452+I460</f>
        <v>483787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42681+110000+287000+70256+470376</f>
        <v>980313</v>
      </c>
      <c r="G465" s="18">
        <v>0</v>
      </c>
      <c r="H465" s="18">
        <v>0</v>
      </c>
      <c r="I465" s="18">
        <v>0</v>
      </c>
      <c r="J465" s="18">
        <v>400154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+F193</f>
        <v>17072386</v>
      </c>
      <c r="G468" s="18">
        <f>G178+G193</f>
        <v>387493</v>
      </c>
      <c r="H468" s="18">
        <f>H177+H193</f>
        <v>391461</v>
      </c>
      <c r="I468" s="18"/>
      <c r="J468" s="18">
        <f>H408+G408</f>
        <v>110881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17072386</v>
      </c>
      <c r="G470" s="53">
        <f>SUM(G468:G469)</f>
        <v>387493</v>
      </c>
      <c r="H470" s="53">
        <f>SUM(H468:H469)</f>
        <v>391461</v>
      </c>
      <c r="I470" s="53">
        <f>SUM(I468:I469)</f>
        <v>0</v>
      </c>
      <c r="J470" s="53">
        <f>SUM(J468:J469)</f>
        <v>110881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+L257+L270</f>
        <v>17028440</v>
      </c>
      <c r="G472" s="18">
        <f>G345+L362</f>
        <v>387493</v>
      </c>
      <c r="H472" s="18">
        <f>H344+L352</f>
        <v>391461</v>
      </c>
      <c r="I472" s="18"/>
      <c r="J472" s="18">
        <f>+L434</f>
        <v>42128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17028440</v>
      </c>
      <c r="G474" s="53">
        <f>SUM(G472:G473)</f>
        <v>387493</v>
      </c>
      <c r="H474" s="53">
        <f>SUM(H472:H473)</f>
        <v>391461</v>
      </c>
      <c r="I474" s="53">
        <f>SUM(I472:I473)</f>
        <v>0</v>
      </c>
      <c r="J474" s="53">
        <f>SUM(J472:J473)</f>
        <v>42128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1024259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468907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4745000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1540000</v>
      </c>
      <c r="G495" s="18"/>
      <c r="H495" s="18"/>
      <c r="I495" s="18"/>
      <c r="J495" s="18"/>
      <c r="K495" s="53">
        <f>SUM(F495:J495)</f>
        <v>1540000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490000</v>
      </c>
      <c r="G497" s="18"/>
      <c r="H497" s="18"/>
      <c r="I497" s="18"/>
      <c r="J497" s="18"/>
      <c r="K497" s="53">
        <f t="shared" si="35"/>
        <v>490000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1050000</v>
      </c>
      <c r="G498" s="204"/>
      <c r="H498" s="204"/>
      <c r="I498" s="204"/>
      <c r="J498" s="204"/>
      <c r="K498" s="205">
        <f t="shared" si="35"/>
        <v>1050000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109650-58700</f>
        <v>50950</v>
      </c>
      <c r="G499" s="18"/>
      <c r="H499" s="18"/>
      <c r="I499" s="18"/>
      <c r="J499" s="18"/>
      <c r="K499" s="53">
        <f t="shared" si="35"/>
        <v>50950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1100950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1100950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37450</v>
      </c>
      <c r="G502" s="18"/>
      <c r="H502" s="18"/>
      <c r="I502" s="18"/>
      <c r="J502" s="18"/>
      <c r="K502" s="53">
        <f t="shared" si="35"/>
        <v>37450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547450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547450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f>90572</f>
        <v>90572</v>
      </c>
      <c r="G507" s="144">
        <v>8915</v>
      </c>
      <c r="H507" s="144">
        <v>9526</v>
      </c>
      <c r="I507" s="144">
        <f>F507+G507-H507</f>
        <v>89961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49270</v>
      </c>
      <c r="G511" s="24" t="s">
        <v>289</v>
      </c>
      <c r="H511" s="18">
        <v>49270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562129</v>
      </c>
      <c r="G512" s="24" t="s">
        <v>289</v>
      </c>
      <c r="H512" s="18">
        <f>75548+513829</f>
        <v>589377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16850806</v>
      </c>
      <c r="G513" s="24" t="s">
        <v>289</v>
      </c>
      <c r="H513" s="18">
        <v>16850806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884627</v>
      </c>
      <c r="G514" s="24" t="s">
        <v>289</v>
      </c>
      <c r="H514" s="18">
        <v>833327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18346832</v>
      </c>
      <c r="H516" s="24" t="s">
        <v>289</v>
      </c>
      <c r="I516" s="18">
        <v>18332780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18346832</v>
      </c>
      <c r="G517" s="42">
        <f>SUM(G511:G516)</f>
        <v>18346832</v>
      </c>
      <c r="H517" s="42">
        <f>SUM(H511:H516)</f>
        <v>18322780</v>
      </c>
      <c r="I517" s="42">
        <f>SUM(I511:I516)</f>
        <v>18332780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1088376</v>
      </c>
      <c r="G521" s="18">
        <v>397349</v>
      </c>
      <c r="H521" s="18">
        <v>286956</v>
      </c>
      <c r="I521" s="18">
        <v>12343</v>
      </c>
      <c r="J521" s="18">
        <v>5145</v>
      </c>
      <c r="K521" s="18">
        <v>423</v>
      </c>
      <c r="L521" s="88">
        <f>SUM(F521:K521)</f>
        <v>1790592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276642</v>
      </c>
      <c r="G522" s="18">
        <v>125559</v>
      </c>
      <c r="H522" s="18">
        <f>12739-4995</f>
        <v>7744</v>
      </c>
      <c r="I522" s="18">
        <v>4108</v>
      </c>
      <c r="J522" s="18">
        <v>1864</v>
      </c>
      <c r="K522" s="18">
        <v>142</v>
      </c>
      <c r="L522" s="88">
        <f>SUM(F522:K522)</f>
        <v>416059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534269</v>
      </c>
      <c r="G523" s="18">
        <v>224399</v>
      </c>
      <c r="H523" s="18">
        <v>45014</v>
      </c>
      <c r="I523" s="18">
        <v>6908</v>
      </c>
      <c r="J523" s="18">
        <v>4059</v>
      </c>
      <c r="K523" s="18">
        <v>254</v>
      </c>
      <c r="L523" s="88">
        <f>SUM(F523:K523)</f>
        <v>814903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1899287</v>
      </c>
      <c r="G524" s="108">
        <f t="shared" ref="G524:L524" si="36">SUM(G521:G523)</f>
        <v>747307</v>
      </c>
      <c r="H524" s="108">
        <f t="shared" si="36"/>
        <v>339714</v>
      </c>
      <c r="I524" s="108">
        <f t="shared" si="36"/>
        <v>23359</v>
      </c>
      <c r="J524" s="108">
        <f t="shared" si="36"/>
        <v>11068</v>
      </c>
      <c r="K524" s="108">
        <f t="shared" si="36"/>
        <v>819</v>
      </c>
      <c r="L524" s="89">
        <f t="shared" si="36"/>
        <v>3021554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411748</v>
      </c>
      <c r="G526" s="18">
        <v>184645</v>
      </c>
      <c r="H526" s="18">
        <v>43402</v>
      </c>
      <c r="I526" s="18">
        <v>2765</v>
      </c>
      <c r="J526" s="18">
        <v>3916</v>
      </c>
      <c r="K526" s="18"/>
      <c r="L526" s="88">
        <f>SUM(F526:K526)</f>
        <v>646476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81453</v>
      </c>
      <c r="G527" s="18">
        <v>33936</v>
      </c>
      <c r="H527" s="18">
        <v>4690</v>
      </c>
      <c r="I527" s="18">
        <v>648</v>
      </c>
      <c r="J527" s="18"/>
      <c r="K527" s="18"/>
      <c r="L527" s="88">
        <f>SUM(F527:K527)</f>
        <v>120727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208161</v>
      </c>
      <c r="G528" s="18">
        <v>84668</v>
      </c>
      <c r="H528" s="18">
        <v>2983</v>
      </c>
      <c r="I528" s="18">
        <v>3645</v>
      </c>
      <c r="J528" s="18"/>
      <c r="K528" s="18"/>
      <c r="L528" s="88">
        <f>SUM(F528:K528)</f>
        <v>299457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701362</v>
      </c>
      <c r="G529" s="89">
        <f t="shared" ref="G529:L529" si="37">SUM(G526:G528)</f>
        <v>303249</v>
      </c>
      <c r="H529" s="89">
        <f t="shared" si="37"/>
        <v>51075</v>
      </c>
      <c r="I529" s="89">
        <f t="shared" si="37"/>
        <v>7058</v>
      </c>
      <c r="J529" s="89">
        <f t="shared" si="37"/>
        <v>3916</v>
      </c>
      <c r="K529" s="89">
        <f t="shared" si="37"/>
        <v>0</v>
      </c>
      <c r="L529" s="89">
        <f t="shared" si="37"/>
        <v>1066660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68440</v>
      </c>
      <c r="G531" s="18">
        <v>34031</v>
      </c>
      <c r="H531" s="18"/>
      <c r="I531" s="18">
        <v>777</v>
      </c>
      <c r="J531" s="18"/>
      <c r="K531" s="18"/>
      <c r="L531" s="88">
        <f>SUM(F531:K531)</f>
        <v>103248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22982</v>
      </c>
      <c r="G532" s="18">
        <v>11428</v>
      </c>
      <c r="H532" s="18"/>
      <c r="I532" s="18">
        <v>261</v>
      </c>
      <c r="J532" s="18"/>
      <c r="K532" s="18"/>
      <c r="L532" s="88">
        <f>SUM(F532:K532)</f>
        <v>34671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41025</v>
      </c>
      <c r="G533" s="18">
        <v>20399</v>
      </c>
      <c r="H533" s="18"/>
      <c r="I533" s="18">
        <v>465</v>
      </c>
      <c r="J533" s="18"/>
      <c r="K533" s="18"/>
      <c r="L533" s="88">
        <f>SUM(F533:K533)</f>
        <v>61889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132447</v>
      </c>
      <c r="G534" s="89">
        <f t="shared" ref="G534:L534" si="38">SUM(G531:G533)</f>
        <v>65858</v>
      </c>
      <c r="H534" s="89">
        <f t="shared" si="38"/>
        <v>0</v>
      </c>
      <c r="I534" s="89">
        <f t="shared" si="38"/>
        <v>1503</v>
      </c>
      <c r="J534" s="89">
        <f t="shared" si="38"/>
        <v>0</v>
      </c>
      <c r="K534" s="89">
        <f t="shared" si="38"/>
        <v>0</v>
      </c>
      <c r="L534" s="89">
        <f t="shared" si="38"/>
        <v>199808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1060</v>
      </c>
      <c r="I536" s="18"/>
      <c r="J536" s="18"/>
      <c r="K536" s="18"/>
      <c r="L536" s="88">
        <f>SUM(F536:K536)</f>
        <v>1060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356</v>
      </c>
      <c r="I537" s="18"/>
      <c r="J537" s="18"/>
      <c r="K537" s="18"/>
      <c r="L537" s="88">
        <f>SUM(F537:K537)</f>
        <v>356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636</v>
      </c>
      <c r="I538" s="18"/>
      <c r="J538" s="18"/>
      <c r="K538" s="18"/>
      <c r="L538" s="88">
        <f>SUM(F538:K538)</f>
        <v>636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2052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2052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18518</v>
      </c>
      <c r="G541" s="18">
        <v>12266</v>
      </c>
      <c r="H541" s="18">
        <v>142336</v>
      </c>
      <c r="I541" s="18"/>
      <c r="J541" s="18"/>
      <c r="K541" s="18">
        <v>121</v>
      </c>
      <c r="L541" s="88">
        <f>SUM(F541:K541)</f>
        <v>173241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6218</v>
      </c>
      <c r="G542" s="18">
        <v>4119</v>
      </c>
      <c r="H542" s="18">
        <v>1554</v>
      </c>
      <c r="I542" s="18"/>
      <c r="J542" s="18"/>
      <c r="K542" s="18">
        <v>41</v>
      </c>
      <c r="L542" s="88">
        <f>SUM(F542:K542)</f>
        <v>11932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11100</v>
      </c>
      <c r="G543" s="18">
        <v>7353</v>
      </c>
      <c r="H543" s="18">
        <v>2773</v>
      </c>
      <c r="I543" s="18"/>
      <c r="J543" s="18"/>
      <c r="K543" s="18">
        <v>73</v>
      </c>
      <c r="L543" s="88">
        <f>SUM(F543:K543)</f>
        <v>21299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35836</v>
      </c>
      <c r="G544" s="193">
        <f t="shared" ref="G544:L544" si="40">SUM(G541:G543)</f>
        <v>23738</v>
      </c>
      <c r="H544" s="193">
        <f t="shared" si="40"/>
        <v>146663</v>
      </c>
      <c r="I544" s="193">
        <f t="shared" si="40"/>
        <v>0</v>
      </c>
      <c r="J544" s="193">
        <f t="shared" si="40"/>
        <v>0</v>
      </c>
      <c r="K544" s="193">
        <f t="shared" si="40"/>
        <v>235</v>
      </c>
      <c r="L544" s="193">
        <f t="shared" si="40"/>
        <v>206472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2768932</v>
      </c>
      <c r="G545" s="89">
        <f t="shared" ref="G545:L545" si="41">G524+G529+G534+G539+G544</f>
        <v>1140152</v>
      </c>
      <c r="H545" s="89">
        <f t="shared" si="41"/>
        <v>539504</v>
      </c>
      <c r="I545" s="89">
        <f t="shared" si="41"/>
        <v>31920</v>
      </c>
      <c r="J545" s="89">
        <f t="shared" si="41"/>
        <v>14984</v>
      </c>
      <c r="K545" s="89">
        <f t="shared" si="41"/>
        <v>1054</v>
      </c>
      <c r="L545" s="89">
        <f t="shared" si="41"/>
        <v>4496546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1790592</v>
      </c>
      <c r="G549" s="87">
        <f>L526</f>
        <v>646476</v>
      </c>
      <c r="H549" s="87">
        <f>L531</f>
        <v>103248</v>
      </c>
      <c r="I549" s="87">
        <f>L536</f>
        <v>1060</v>
      </c>
      <c r="J549" s="87">
        <f>L541</f>
        <v>173241</v>
      </c>
      <c r="K549" s="87">
        <f>SUM(F549:J549)</f>
        <v>2714617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416059</v>
      </c>
      <c r="G550" s="87">
        <f>L527</f>
        <v>120727</v>
      </c>
      <c r="H550" s="87">
        <f>L532</f>
        <v>34671</v>
      </c>
      <c r="I550" s="87">
        <f>L537</f>
        <v>356</v>
      </c>
      <c r="J550" s="87">
        <f>L542</f>
        <v>11932</v>
      </c>
      <c r="K550" s="87">
        <f>SUM(F550:J550)</f>
        <v>583745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814903</v>
      </c>
      <c r="G551" s="87">
        <f>L528</f>
        <v>299457</v>
      </c>
      <c r="H551" s="87">
        <f>L533</f>
        <v>61889</v>
      </c>
      <c r="I551" s="87">
        <f>L538</f>
        <v>636</v>
      </c>
      <c r="J551" s="87">
        <f>L543</f>
        <v>21299</v>
      </c>
      <c r="K551" s="87">
        <f>SUM(F551:J551)</f>
        <v>1198184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3021554</v>
      </c>
      <c r="G552" s="89">
        <f t="shared" si="42"/>
        <v>1066660</v>
      </c>
      <c r="H552" s="89">
        <f t="shared" si="42"/>
        <v>199808</v>
      </c>
      <c r="I552" s="89">
        <f t="shared" si="42"/>
        <v>2052</v>
      </c>
      <c r="J552" s="89">
        <f t="shared" si="42"/>
        <v>206472</v>
      </c>
      <c r="K552" s="89">
        <f t="shared" si="42"/>
        <v>4496546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13027</v>
      </c>
      <c r="G564" s="18">
        <f>14129-13027</f>
        <v>1102</v>
      </c>
      <c r="H564" s="18"/>
      <c r="I564" s="18"/>
      <c r="J564" s="18"/>
      <c r="K564" s="18"/>
      <c r="L564" s="88">
        <f>SUM(F564:K564)</f>
        <v>14129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13027</v>
      </c>
      <c r="G565" s="89">
        <f t="shared" si="44"/>
        <v>1102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14129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13027</v>
      </c>
      <c r="G571" s="89">
        <f t="shared" ref="G571:L571" si="46">G560+G565+G570</f>
        <v>1102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14129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898</v>
      </c>
      <c r="I575" s="87">
        <f>SUM(F575:H575)</f>
        <v>898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5645</v>
      </c>
      <c r="G579" s="18"/>
      <c r="H579" s="18">
        <v>30321</v>
      </c>
      <c r="I579" s="87">
        <f t="shared" si="47"/>
        <v>35966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126058</v>
      </c>
      <c r="G582" s="18"/>
      <c r="H582" s="18"/>
      <c r="I582" s="87">
        <f t="shared" si="47"/>
        <v>126058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25897</v>
      </c>
      <c r="I584" s="87">
        <f t="shared" si="47"/>
        <v>25897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227180</v>
      </c>
      <c r="I591" s="18">
        <v>69089</v>
      </c>
      <c r="J591" s="18">
        <v>138148</v>
      </c>
      <c r="K591" s="104">
        <f t="shared" ref="K591:K597" si="48">SUM(H591:J591)</f>
        <v>434417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173466</v>
      </c>
      <c r="I592" s="18">
        <v>11002</v>
      </c>
      <c r="J592" s="18">
        <v>22004</v>
      </c>
      <c r="K592" s="104">
        <f t="shared" si="48"/>
        <v>206472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22220</v>
      </c>
      <c r="K593" s="104">
        <f t="shared" si="48"/>
        <v>22220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12245</v>
      </c>
      <c r="J594" s="18">
        <v>42317</v>
      </c>
      <c r="K594" s="104">
        <f t="shared" si="48"/>
        <v>54562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3004</v>
      </c>
      <c r="I595" s="18">
        <v>777</v>
      </c>
      <c r="J595" s="18">
        <v>2012</v>
      </c>
      <c r="K595" s="104">
        <f t="shared" si="48"/>
        <v>5793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403650</v>
      </c>
      <c r="I598" s="108">
        <f>SUM(I591:I597)</f>
        <v>93113</v>
      </c>
      <c r="J598" s="108">
        <f>SUM(J591:J597)</f>
        <v>226701</v>
      </c>
      <c r="K598" s="108">
        <f>SUM(K591:K597)</f>
        <v>723464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89854</v>
      </c>
      <c r="I604" s="18">
        <v>29150</v>
      </c>
      <c r="J604" s="18">
        <v>73198</v>
      </c>
      <c r="K604" s="104">
        <f>SUM(H604:J604)</f>
        <v>192202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89854</v>
      </c>
      <c r="I605" s="108">
        <f>SUM(I602:I604)</f>
        <v>29150</v>
      </c>
      <c r="J605" s="108">
        <f>SUM(J602:J604)</f>
        <v>73198</v>
      </c>
      <c r="K605" s="108">
        <f>SUM(K602:K604)</f>
        <v>192202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21197+804+758+1772+1</f>
        <v>24532</v>
      </c>
      <c r="G611" s="18">
        <f>3914+81+98+491</f>
        <v>4584</v>
      </c>
      <c r="H611" s="18"/>
      <c r="I611" s="18"/>
      <c r="J611" s="18"/>
      <c r="K611" s="18"/>
      <c r="L611" s="88">
        <f>SUM(F611:K611)</f>
        <v>29116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7118+270+255+595</f>
        <v>8238</v>
      </c>
      <c r="G612" s="18">
        <f>1314+27+33+165</f>
        <v>1539</v>
      </c>
      <c r="H612" s="18"/>
      <c r="I612" s="18"/>
      <c r="J612" s="18"/>
      <c r="K612" s="18"/>
      <c r="L612" s="88">
        <f>SUM(F612:K612)</f>
        <v>9777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12706+576+482+454+1063</f>
        <v>15281</v>
      </c>
      <c r="G613" s="18">
        <f>2346+59+49+59+294</f>
        <v>2807</v>
      </c>
      <c r="H613" s="18"/>
      <c r="I613" s="18"/>
      <c r="J613" s="18"/>
      <c r="K613" s="18"/>
      <c r="L613" s="88">
        <f>SUM(F613:K613)</f>
        <v>18088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48051</v>
      </c>
      <c r="G614" s="108">
        <f t="shared" si="49"/>
        <v>8930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56981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2436663</v>
      </c>
      <c r="H617" s="109">
        <f>SUM(F52)</f>
        <v>2436663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11372</v>
      </c>
      <c r="H618" s="109">
        <f>SUM(G52)</f>
        <v>11372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132374</v>
      </c>
      <c r="H619" s="109">
        <f>SUM(H52)</f>
        <v>132374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483787</v>
      </c>
      <c r="H621" s="109">
        <f>SUM(J52)</f>
        <v>483787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1024259</v>
      </c>
      <c r="H622" s="109">
        <f>F476</f>
        <v>1024259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468907</v>
      </c>
      <c r="H626" s="109">
        <f>J476</f>
        <v>468907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17072386</v>
      </c>
      <c r="H627" s="104">
        <f>SUM(F468)</f>
        <v>17072386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387493</v>
      </c>
      <c r="H628" s="104">
        <f>SUM(G468)</f>
        <v>387493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391461</v>
      </c>
      <c r="H629" s="104">
        <f>SUM(H468)</f>
        <v>391461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110881</v>
      </c>
      <c r="H631" s="104">
        <f>SUM(J468)</f>
        <v>110881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17028440</v>
      </c>
      <c r="H632" s="104">
        <f>SUM(F472)</f>
        <v>17028440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391461</v>
      </c>
      <c r="H633" s="104">
        <f>SUM(H472)</f>
        <v>391461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146199</v>
      </c>
      <c r="H634" s="104">
        <f>I369</f>
        <v>146199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387493</v>
      </c>
      <c r="H635" s="104">
        <f>SUM(G472)</f>
        <v>387493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110881</v>
      </c>
      <c r="H637" s="164">
        <f>SUM(J468)</f>
        <v>110881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42128</v>
      </c>
      <c r="H638" s="164">
        <f>SUM(J472)</f>
        <v>42128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238899</v>
      </c>
      <c r="H639" s="104">
        <f>SUM(F461)</f>
        <v>238899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244888</v>
      </c>
      <c r="H640" s="104">
        <f>SUM(G461)</f>
        <v>244888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483787</v>
      </c>
      <c r="H642" s="104">
        <f>SUM(I461)</f>
        <v>483787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881</v>
      </c>
      <c r="H644" s="104">
        <f>H408</f>
        <v>881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110000</v>
      </c>
      <c r="H645" s="104">
        <f>G408</f>
        <v>110000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110881</v>
      </c>
      <c r="H646" s="104">
        <f>L408</f>
        <v>110881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723464</v>
      </c>
      <c r="H647" s="104">
        <f>L208+L226+L244</f>
        <v>723464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192202</v>
      </c>
      <c r="H648" s="104">
        <f>(J257+J338)-(J255+J336)</f>
        <v>192202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403650</v>
      </c>
      <c r="H649" s="104">
        <f>H598</f>
        <v>403650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93113</v>
      </c>
      <c r="H650" s="104">
        <f>I598</f>
        <v>93113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226701</v>
      </c>
      <c r="H651" s="104">
        <f>J598</f>
        <v>226701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112648</v>
      </c>
      <c r="H652" s="104">
        <f>K263+K345</f>
        <v>112648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3480</v>
      </c>
      <c r="H653" s="104">
        <f>K264</f>
        <v>3480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110000</v>
      </c>
      <c r="H655" s="104">
        <f>K266+K347</f>
        <v>110000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8894144</v>
      </c>
      <c r="G660" s="19">
        <f>(L229+L309+L359)</f>
        <v>2516654</v>
      </c>
      <c r="H660" s="19">
        <f>(L247+L328+L360)</f>
        <v>5578535</v>
      </c>
      <c r="I660" s="19">
        <f>SUM(F660:H660)</f>
        <v>16989333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98218.156240241762</v>
      </c>
      <c r="G661" s="19">
        <f>(L359/IF(SUM(L358:L360)=0,1,SUM(L358:L360))*(SUM(G97:G110)))</f>
        <v>33939.336338979025</v>
      </c>
      <c r="H661" s="19">
        <f>(L360/IF(SUM(L358:L360)=0,1,SUM(L358:L360))*(SUM(G97:G110)))</f>
        <v>60670.507420779213</v>
      </c>
      <c r="I661" s="19">
        <f>SUM(F661:H661)</f>
        <v>192828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404972</v>
      </c>
      <c r="G662" s="19">
        <f>(L226+L306)-(J226+J306)</f>
        <v>93113</v>
      </c>
      <c r="H662" s="19">
        <f>(L244+L325)-(J244+J325)</f>
        <v>226701</v>
      </c>
      <c r="I662" s="19">
        <f>SUM(F662:H662)</f>
        <v>724786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250673</v>
      </c>
      <c r="G663" s="199">
        <f>SUM(G575:G587)+SUM(I602:I604)+L612</f>
        <v>38927</v>
      </c>
      <c r="H663" s="199">
        <f>SUM(H575:H587)+SUM(J602:J604)+L613</f>
        <v>148402</v>
      </c>
      <c r="I663" s="19">
        <f>SUM(F663:H663)</f>
        <v>438002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8140280.8437597584</v>
      </c>
      <c r="G664" s="19">
        <f>G660-SUM(G661:G663)</f>
        <v>2350674.6636610208</v>
      </c>
      <c r="H664" s="19">
        <f>H660-SUM(H661:H663)</f>
        <v>5142761.4925792208</v>
      </c>
      <c r="I664" s="19">
        <f>I660-SUM(I661:I663)</f>
        <v>15633717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452.35</v>
      </c>
      <c r="G665" s="248">
        <v>151.9</v>
      </c>
      <c r="H665" s="248">
        <v>271.86</v>
      </c>
      <c r="I665" s="19">
        <f>SUM(F665:H665)</f>
        <v>876.11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17995.54</v>
      </c>
      <c r="G667" s="19">
        <f>ROUND(G664/G665,2)</f>
        <v>15475.15</v>
      </c>
      <c r="H667" s="19">
        <f>ROUND(H664/H665,2)</f>
        <v>18916.95</v>
      </c>
      <c r="I667" s="19">
        <f>ROUND(I664/I665,2)</f>
        <v>17844.47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</v>
      </c>
      <c r="I670" s="19">
        <f>SUM(F670:H670)</f>
        <v>-4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17995.54</v>
      </c>
      <c r="G672" s="19">
        <f>ROUND((G664+G669)/(G665+G670),2)</f>
        <v>15475.15</v>
      </c>
      <c r="H672" s="19">
        <f>ROUND((H664+H669)/(H665+H670),2)</f>
        <v>19199.439999999999</v>
      </c>
      <c r="I672" s="19">
        <f>ROUND((I664+I669)/(I665+I670),2)</f>
        <v>17926.310000000001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3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C10" sqref="C1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HOPKINTON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4686432</v>
      </c>
      <c r="C9" s="229">
        <f>'DOE25'!G197+'DOE25'!G215+'DOE25'!G233+'DOE25'!G276+'DOE25'!G295+'DOE25'!G314</f>
        <v>2156696</v>
      </c>
    </row>
    <row r="10" spans="1:3" x14ac:dyDescent="0.2">
      <c r="A10" t="s">
        <v>779</v>
      </c>
      <c r="B10" s="240">
        <v>4583476</v>
      </c>
      <c r="C10" s="240">
        <v>2133173</v>
      </c>
    </row>
    <row r="11" spans="1:3" x14ac:dyDescent="0.2">
      <c r="A11" t="s">
        <v>780</v>
      </c>
      <c r="B11" s="240">
        <f>11024+2820+5339+1280+137+1028+5015-325+21507-117+65+780+4832+1420+3570</f>
        <v>58375</v>
      </c>
      <c r="C11" s="240">
        <f>2970+694+848+10296+91+60+8+188+187+264</f>
        <v>15606</v>
      </c>
    </row>
    <row r="12" spans="1:3" x14ac:dyDescent="0.2">
      <c r="A12" t="s">
        <v>781</v>
      </c>
      <c r="B12" s="240">
        <f>425+1262+27121+2220+9000+3563+960+10+20</f>
        <v>44581</v>
      </c>
      <c r="C12" s="240">
        <f>6048+1415+454</f>
        <v>7917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4686432</v>
      </c>
      <c r="C13" s="231">
        <f>SUM(C10:C12)</f>
        <v>2156696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1894187</v>
      </c>
      <c r="C18" s="229">
        <f>'DOE25'!G198+'DOE25'!G216+'DOE25'!G234+'DOE25'!G277+'DOE25'!G296+'DOE25'!G315</f>
        <v>747073</v>
      </c>
    </row>
    <row r="19" spans="1:3" x14ac:dyDescent="0.2">
      <c r="A19" t="s">
        <v>779</v>
      </c>
      <c r="B19" s="240">
        <v>1003674</v>
      </c>
      <c r="C19" s="240">
        <v>486386</v>
      </c>
    </row>
    <row r="20" spans="1:3" x14ac:dyDescent="0.2">
      <c r="A20" t="s">
        <v>780</v>
      </c>
      <c r="B20" s="240">
        <f>63+71+1843+10835+400+20038+253927+170546+10383+16018+78717+11810+24141+31416+5638+19578+155+682+33+1351+1650+2469+1843+10700+400+221414+444+300+105+87-6-6968+360+40+30</f>
        <v>890513</v>
      </c>
      <c r="C20" s="240">
        <f>819+192+373+302+52586+12299+20140+3253+28131+4413+8825+5633+17651+10296+6619+11767+6619+5884+11767+11767+3732+426+366+2641+2+1687+10+210+1+14195+13967+4114</f>
        <v>260687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1894187</v>
      </c>
      <c r="C22" s="231">
        <f>SUM(C19:C21)</f>
        <v>747073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221443</v>
      </c>
      <c r="C36" s="235">
        <f>'DOE25'!G200+'DOE25'!G218+'DOE25'!G236+'DOE25'!G279+'DOE25'!G298+'DOE25'!G317</f>
        <v>53566</v>
      </c>
    </row>
    <row r="37" spans="1:3" x14ac:dyDescent="0.2">
      <c r="A37" t="s">
        <v>779</v>
      </c>
      <c r="B37" s="240">
        <v>221443</v>
      </c>
      <c r="C37" s="240">
        <v>53566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221443</v>
      </c>
      <c r="C40" s="231">
        <f>SUM(C37:C39)</f>
        <v>53566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HOPKINTON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10200390</v>
      </c>
      <c r="D5" s="20">
        <f>SUM('DOE25'!L197:L200)+SUM('DOE25'!L215:L218)+SUM('DOE25'!L233:L236)-F5-G5</f>
        <v>10149606</v>
      </c>
      <c r="E5" s="243"/>
      <c r="F5" s="255">
        <f>SUM('DOE25'!J197:J200)+SUM('DOE25'!J215:J218)+SUM('DOE25'!J233:J236)</f>
        <v>40111</v>
      </c>
      <c r="G5" s="53">
        <f>SUM('DOE25'!K197:K200)+SUM('DOE25'!K215:K218)+SUM('DOE25'!K233:K236)</f>
        <v>10673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1381414</v>
      </c>
      <c r="D6" s="20">
        <f>'DOE25'!L202+'DOE25'!L220+'DOE25'!L238-F6-G6</f>
        <v>1377572</v>
      </c>
      <c r="E6" s="243"/>
      <c r="F6" s="255">
        <f>'DOE25'!J202+'DOE25'!J220+'DOE25'!J238</f>
        <v>3817</v>
      </c>
      <c r="G6" s="53">
        <f>'DOE25'!K202+'DOE25'!K220+'DOE25'!K238</f>
        <v>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747943</v>
      </c>
      <c r="D7" s="20">
        <f>'DOE25'!L203+'DOE25'!L221+'DOE25'!L239-F7-G7</f>
        <v>603142</v>
      </c>
      <c r="E7" s="243"/>
      <c r="F7" s="255">
        <f>'DOE25'!J203+'DOE25'!J221+'DOE25'!J239</f>
        <v>111755</v>
      </c>
      <c r="G7" s="53">
        <f>'DOE25'!K203+'DOE25'!K221+'DOE25'!K239</f>
        <v>33046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233362</v>
      </c>
      <c r="D8" s="243"/>
      <c r="E8" s="20">
        <f>'DOE25'!L204+'DOE25'!L222+'DOE25'!L240-F8-G8-D9-D11</f>
        <v>217965</v>
      </c>
      <c r="F8" s="255">
        <f>'DOE25'!J204+'DOE25'!J222+'DOE25'!J240</f>
        <v>80</v>
      </c>
      <c r="G8" s="53">
        <f>'DOE25'!K204+'DOE25'!K222+'DOE25'!K240</f>
        <v>15317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15330</v>
      </c>
      <c r="D9" s="244">
        <v>15330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323333</v>
      </c>
      <c r="D11" s="244">
        <v>323333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869061</v>
      </c>
      <c r="D12" s="20">
        <f>'DOE25'!L205+'DOE25'!L223+'DOE25'!L241-F12-G12</f>
        <v>860649</v>
      </c>
      <c r="E12" s="243"/>
      <c r="F12" s="255">
        <f>'DOE25'!J205+'DOE25'!J223+'DOE25'!J241</f>
        <v>870</v>
      </c>
      <c r="G12" s="53">
        <f>'DOE25'!K205+'DOE25'!K223+'DOE25'!K241</f>
        <v>7542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308833</v>
      </c>
      <c r="D13" s="243"/>
      <c r="E13" s="20">
        <f>'DOE25'!L206+'DOE25'!L224+'DOE25'!L242-F13-G13</f>
        <v>308833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1149699</v>
      </c>
      <c r="D14" s="20">
        <f>'DOE25'!L207+'DOE25'!L225+'DOE25'!L243-F14-G14</f>
        <v>1133336</v>
      </c>
      <c r="E14" s="243"/>
      <c r="F14" s="255">
        <f>'DOE25'!J207+'DOE25'!J225+'DOE25'!J243</f>
        <v>16363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723464</v>
      </c>
      <c r="D15" s="20">
        <f>'DOE25'!L208+'DOE25'!L226+'DOE25'!L244-F15-G15</f>
        <v>723229</v>
      </c>
      <c r="E15" s="243"/>
      <c r="F15" s="255">
        <f>'DOE25'!J208+'DOE25'!J226+'DOE25'!J244</f>
        <v>0</v>
      </c>
      <c r="G15" s="53">
        <f>'DOE25'!K208+'DOE25'!K226+'DOE25'!K244</f>
        <v>235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261559</v>
      </c>
      <c r="D16" s="243"/>
      <c r="E16" s="20">
        <f>'DOE25'!L209+'DOE25'!L227+'DOE25'!L245-F16-G16</f>
        <v>261559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34229</v>
      </c>
      <c r="D22" s="243"/>
      <c r="E22" s="243"/>
      <c r="F22" s="255">
        <f>'DOE25'!L255+'DOE25'!L336</f>
        <v>34229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548700</v>
      </c>
      <c r="D25" s="243"/>
      <c r="E25" s="243"/>
      <c r="F25" s="258"/>
      <c r="G25" s="256"/>
      <c r="H25" s="257">
        <f>'DOE25'!L260+'DOE25'!L261+'DOE25'!L341+'DOE25'!L342</f>
        <v>548700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266364</v>
      </c>
      <c r="D29" s="20">
        <f>'DOE25'!L358+'DOE25'!L359+'DOE25'!L360-'DOE25'!I367-F29-G29</f>
        <v>262629</v>
      </c>
      <c r="E29" s="243"/>
      <c r="F29" s="255">
        <f>'DOE25'!J358+'DOE25'!J359+'DOE25'!J360</f>
        <v>2812</v>
      </c>
      <c r="G29" s="53">
        <f>'DOE25'!K358+'DOE25'!K359+'DOE25'!K360</f>
        <v>923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390648</v>
      </c>
      <c r="D31" s="20">
        <f>'DOE25'!L290+'DOE25'!L309+'DOE25'!L328+'DOE25'!L333+'DOE25'!L334+'DOE25'!L335-F31-G31</f>
        <v>355461</v>
      </c>
      <c r="E31" s="243"/>
      <c r="F31" s="255">
        <f>'DOE25'!J290+'DOE25'!J309+'DOE25'!J328+'DOE25'!J333+'DOE25'!J334+'DOE25'!J335</f>
        <v>19206</v>
      </c>
      <c r="G31" s="53">
        <f>'DOE25'!K290+'DOE25'!K309+'DOE25'!K328+'DOE25'!K333+'DOE25'!K334+'DOE25'!K335</f>
        <v>15981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15804287</v>
      </c>
      <c r="E33" s="246">
        <f>SUM(E5:E31)</f>
        <v>800957</v>
      </c>
      <c r="F33" s="246">
        <f>SUM(F5:F31)</f>
        <v>229243</v>
      </c>
      <c r="G33" s="246">
        <f>SUM(G5:G31)</f>
        <v>83742</v>
      </c>
      <c r="H33" s="246">
        <f>SUM(H5:H31)</f>
        <v>548700</v>
      </c>
    </row>
    <row r="35" spans="2:8" ht="12" thickBot="1" x14ac:dyDescent="0.25">
      <c r="B35" s="253" t="s">
        <v>847</v>
      </c>
      <c r="D35" s="254">
        <f>E33</f>
        <v>800957</v>
      </c>
      <c r="E35" s="249"/>
    </row>
    <row r="36" spans="2:8" ht="12" thickTop="1" x14ac:dyDescent="0.2">
      <c r="B36" t="s">
        <v>815</v>
      </c>
      <c r="D36" s="20">
        <f>D33</f>
        <v>15804287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50" zoomScaleNormal="150" zoomScalePageLayoutView="150" workbookViewId="0">
      <pane ySplit="2" topLeftCell="A3" activePane="bottomLeft" state="frozen"/>
      <selection activeCell="F46" sqref="F46"/>
      <selection pane="bottomLeft" activeCell="C25" sqref="C2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2127915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240544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483787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17445</v>
      </c>
      <c r="D11" s="95">
        <f>'DOE25'!G12</f>
        <v>7954</v>
      </c>
      <c r="E11" s="95">
        <f>'DOE25'!H12</f>
        <v>51657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19079</v>
      </c>
      <c r="D12" s="95">
        <f>'DOE25'!G13</f>
        <v>3234</v>
      </c>
      <c r="E12" s="95">
        <f>'DOE25'!H13</f>
        <v>80717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16396</v>
      </c>
      <c r="D13" s="95">
        <f>'DOE25'!G14</f>
        <v>84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15284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2436663</v>
      </c>
      <c r="D18" s="41">
        <f>SUM(D8:D17)</f>
        <v>11372</v>
      </c>
      <c r="E18" s="41">
        <f>SUM(E8:E17)</f>
        <v>132374</v>
      </c>
      <c r="F18" s="41">
        <f>SUM(F8:F17)</f>
        <v>0</v>
      </c>
      <c r="G18" s="41">
        <f>SUM(G8:G17)</f>
        <v>483787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77056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14880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141485</v>
      </c>
      <c r="D23" s="95">
        <f>'DOE25'!G24</f>
        <v>265</v>
      </c>
      <c r="E23" s="95">
        <f>'DOE25'!H24</f>
        <v>5905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57597</v>
      </c>
      <c r="D27" s="95">
        <f>'DOE25'!G28</f>
        <v>0</v>
      </c>
      <c r="E27" s="95">
        <f>'DOE25'!H28</f>
        <v>789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1213322</v>
      </c>
      <c r="D29" s="95">
        <f>'DOE25'!G30</f>
        <v>11107</v>
      </c>
      <c r="E29" s="95">
        <f>'DOE25'!H30</f>
        <v>48624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1412404</v>
      </c>
      <c r="D31" s="41">
        <f>SUM(D21:D30)</f>
        <v>11372</v>
      </c>
      <c r="E31" s="41">
        <f>SUM(E21:E30)</f>
        <v>132374</v>
      </c>
      <c r="F31" s="41">
        <f>SUM(F21:F30)</f>
        <v>0</v>
      </c>
      <c r="G31" s="41">
        <f>SUM(G21:G30)</f>
        <v>14880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15284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301061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468907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103764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544150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1024259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468907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2436663</v>
      </c>
      <c r="D51" s="41">
        <f>D50+D31</f>
        <v>11372</v>
      </c>
      <c r="E51" s="41">
        <f>E50+E31</f>
        <v>132374</v>
      </c>
      <c r="F51" s="41">
        <f>F50+F31</f>
        <v>0</v>
      </c>
      <c r="G51" s="41">
        <f>G50+G31</f>
        <v>483787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12901915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55795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192828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252047</v>
      </c>
      <c r="D61" s="95">
        <f>SUM('DOE25'!G98:G110)</f>
        <v>0</v>
      </c>
      <c r="E61" s="95">
        <f>SUM('DOE25'!H98:H110)</f>
        <v>50868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308035</v>
      </c>
      <c r="D62" s="130">
        <f>SUM(D57:D61)</f>
        <v>192828</v>
      </c>
      <c r="E62" s="130">
        <f>SUM(E57:E61)</f>
        <v>50868</v>
      </c>
      <c r="F62" s="130">
        <f>SUM(F57:F61)</f>
        <v>0</v>
      </c>
      <c r="G62" s="130">
        <f>SUM(G57:G61)</f>
        <v>881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13209950</v>
      </c>
      <c r="D63" s="22">
        <f>D56+D62</f>
        <v>192828</v>
      </c>
      <c r="E63" s="22">
        <f>E56+E62</f>
        <v>50868</v>
      </c>
      <c r="F63" s="22">
        <f>F56+F62</f>
        <v>0</v>
      </c>
      <c r="G63" s="22">
        <f>G56+G62</f>
        <v>881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1923530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1463055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5646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3392231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156786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84868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4488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3252</v>
      </c>
      <c r="E77" s="95">
        <f>SUM('DOE25'!H131:H135)</f>
        <v>4438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246142</v>
      </c>
      <c r="D78" s="130">
        <f>SUM(D72:D77)</f>
        <v>3252</v>
      </c>
      <c r="E78" s="130">
        <f>SUM(E72:E77)</f>
        <v>4438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3638373</v>
      </c>
      <c r="D81" s="130">
        <f>SUM(D79:D80)+D78+D70</f>
        <v>3252</v>
      </c>
      <c r="E81" s="130">
        <f>SUM(E79:E80)+E78+E70</f>
        <v>4438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223250</v>
      </c>
      <c r="D88" s="95">
        <f>SUM('DOE25'!G153:G161)</f>
        <v>78765</v>
      </c>
      <c r="E88" s="95">
        <f>SUM('DOE25'!H153:H161)</f>
        <v>332675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223250</v>
      </c>
      <c r="D91" s="131">
        <f>SUM(D85:D90)</f>
        <v>78765</v>
      </c>
      <c r="E91" s="131">
        <f>SUM(E85:E90)</f>
        <v>332675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112648</v>
      </c>
      <c r="E96" s="95">
        <f>'DOE25'!H179</f>
        <v>3480</v>
      </c>
      <c r="F96" s="95">
        <f>'DOE25'!I179</f>
        <v>0</v>
      </c>
      <c r="G96" s="95">
        <f>'DOE25'!J179</f>
        <v>110000</v>
      </c>
    </row>
    <row r="97" spans="1:7" x14ac:dyDescent="0.2">
      <c r="A97" t="s">
        <v>758</v>
      </c>
      <c r="B97" s="32" t="s">
        <v>188</v>
      </c>
      <c r="C97" s="95">
        <f>SUM('DOE25'!F180:F181)</f>
        <v>813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813</v>
      </c>
      <c r="D103" s="86">
        <f>SUM(D93:D102)</f>
        <v>112648</v>
      </c>
      <c r="E103" s="86">
        <f>SUM(E93:E102)</f>
        <v>3480</v>
      </c>
      <c r="F103" s="86">
        <f>SUM(F93:F102)</f>
        <v>0</v>
      </c>
      <c r="G103" s="86">
        <f>SUM(G93:G102)</f>
        <v>110000</v>
      </c>
    </row>
    <row r="104" spans="1:7" ht="12.75" thickTop="1" thickBot="1" x14ac:dyDescent="0.25">
      <c r="A104" s="33" t="s">
        <v>765</v>
      </c>
      <c r="C104" s="86">
        <f>C63+C81+C91+C103</f>
        <v>17072386</v>
      </c>
      <c r="D104" s="86">
        <f>D63+D81+D91+D103</f>
        <v>387493</v>
      </c>
      <c r="E104" s="86">
        <f>E63+E81+E91+E103</f>
        <v>391461</v>
      </c>
      <c r="F104" s="86">
        <f>F63+F81+F91+F103</f>
        <v>0</v>
      </c>
      <c r="G104" s="86">
        <f>G63+G81+G103</f>
        <v>110881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6967930</v>
      </c>
      <c r="D109" s="24" t="s">
        <v>289</v>
      </c>
      <c r="E109" s="95">
        <f>('DOE25'!L276)+('DOE25'!L295)+('DOE25'!L314)</f>
        <v>104538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2825430</v>
      </c>
      <c r="D110" s="24" t="s">
        <v>289</v>
      </c>
      <c r="E110" s="95">
        <f>('DOE25'!L277)+('DOE25'!L296)+('DOE25'!L315)</f>
        <v>183525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25897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381133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3196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10200390</v>
      </c>
      <c r="D115" s="86">
        <f>SUM(D109:D114)</f>
        <v>0</v>
      </c>
      <c r="E115" s="86">
        <f>SUM(E109:E114)</f>
        <v>291259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1381414</v>
      </c>
      <c r="D118" s="24" t="s">
        <v>289</v>
      </c>
      <c r="E118" s="95">
        <f>+('DOE25'!L281)+('DOE25'!L300)+('DOE25'!L319)</f>
        <v>2424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747943</v>
      </c>
      <c r="D119" s="24" t="s">
        <v>289</v>
      </c>
      <c r="E119" s="95">
        <f>+('DOE25'!L282)+('DOE25'!L301)+('DOE25'!L320)</f>
        <v>95143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572025</v>
      </c>
      <c r="D120" s="24" t="s">
        <v>289</v>
      </c>
      <c r="E120" s="95">
        <f>+('DOE25'!L283)+('DOE25'!L302)+('DOE25'!L321)</f>
        <v>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869061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308833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1149699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723464</v>
      </c>
      <c r="D124" s="24" t="s">
        <v>289</v>
      </c>
      <c r="E124" s="95">
        <f>+('DOE25'!L287)+('DOE25'!L306)+('DOE25'!L325)</f>
        <v>1322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261559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387493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6013998</v>
      </c>
      <c r="D128" s="86">
        <f>SUM(D118:D127)</f>
        <v>387493</v>
      </c>
      <c r="E128" s="86">
        <f>SUM(E118:E127)</f>
        <v>99389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34229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58700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813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112648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3480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110700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-881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4995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814052</v>
      </c>
      <c r="D144" s="141">
        <f>SUM(D130:D143)</f>
        <v>0</v>
      </c>
      <c r="E144" s="141">
        <f>SUM(E130:E143)</f>
        <v>813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17028440</v>
      </c>
      <c r="D145" s="86">
        <f>(D115+D128+D144)</f>
        <v>387493</v>
      </c>
      <c r="E145" s="86">
        <f>(E115+E128+E144)</f>
        <v>391461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4745000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3.50 - 5.0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490000</v>
      </c>
    </row>
    <row r="159" spans="1:9" x14ac:dyDescent="0.2">
      <c r="A159" s="22" t="s">
        <v>35</v>
      </c>
      <c r="B159" s="137">
        <f>'DOE25'!F498</f>
        <v>1050000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1050000</v>
      </c>
    </row>
    <row r="160" spans="1:9" x14ac:dyDescent="0.2">
      <c r="A160" s="22" t="s">
        <v>36</v>
      </c>
      <c r="B160" s="137">
        <f>'DOE25'!F499</f>
        <v>50950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50950</v>
      </c>
    </row>
    <row r="161" spans="1:7" x14ac:dyDescent="0.2">
      <c r="A161" s="22" t="s">
        <v>37</v>
      </c>
      <c r="B161" s="137">
        <f>'DOE25'!F500</f>
        <v>1100950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1100950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37450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37450</v>
      </c>
    </row>
    <row r="164" spans="1:7" x14ac:dyDescent="0.2">
      <c r="A164" s="22" t="s">
        <v>246</v>
      </c>
      <c r="B164" s="137">
        <f>'DOE25'!F503</f>
        <v>547450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547450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81" orientation="landscape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HOPKINTON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17996</v>
      </c>
    </row>
    <row r="5" spans="1:4" x14ac:dyDescent="0.2">
      <c r="B5" t="s">
        <v>704</v>
      </c>
      <c r="C5" s="179">
        <f>IF('DOE25'!G665+'DOE25'!G670=0,0,ROUND('DOE25'!G672,0))</f>
        <v>15475</v>
      </c>
    </row>
    <row r="6" spans="1:4" x14ac:dyDescent="0.2">
      <c r="B6" t="s">
        <v>62</v>
      </c>
      <c r="C6" s="179">
        <f>IF('DOE25'!H665+'DOE25'!H670=0,0,ROUND('DOE25'!H672,0))</f>
        <v>19199</v>
      </c>
    </row>
    <row r="7" spans="1:4" x14ac:dyDescent="0.2">
      <c r="B7" t="s">
        <v>705</v>
      </c>
      <c r="C7" s="179">
        <f>IF('DOE25'!I665+'DOE25'!I670=0,0,ROUND('DOE25'!I672,0))</f>
        <v>17926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7072468</v>
      </c>
      <c r="D10" s="182">
        <f>ROUND((C10/$C$28)*100,1)</f>
        <v>41.9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3008955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25897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381133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1383838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843086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834084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869061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308833</v>
      </c>
      <c r="D19" s="182">
        <f t="shared" si="0"/>
        <v>1.8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1149699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724786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3196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58700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4995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194665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16863396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34229</v>
      </c>
    </row>
    <row r="30" spans="1:4" x14ac:dyDescent="0.2">
      <c r="B30" s="187" t="s">
        <v>729</v>
      </c>
      <c r="C30" s="180">
        <f>SUM(C28:C29)</f>
        <v>16897625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490000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12901915</v>
      </c>
      <c r="D35" s="182">
        <f t="shared" ref="D35:D40" si="1">ROUND((C35/$C$41)*100,1)</f>
        <v>73.5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359784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3386585</v>
      </c>
      <c r="D37" s="182">
        <f t="shared" si="1"/>
        <v>19.3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259478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634690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17542452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HOPKINTON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2016-08-22T12:18:18Z</cp:lastPrinted>
  <dcterms:created xsi:type="dcterms:W3CDTF">1997-12-04T19:04:30Z</dcterms:created>
  <dcterms:modified xsi:type="dcterms:W3CDTF">2016-11-30T16:26:00Z</dcterms:modified>
</cp:coreProperties>
</file>