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80" i="1" l="1"/>
  <c r="B27" i="12" l="1"/>
  <c r="I582" i="1"/>
  <c r="F665" i="1" l="1"/>
  <c r="D11" i="13" l="1"/>
  <c r="D9" i="13"/>
  <c r="B30" i="12" l="1"/>
  <c r="B28" i="12"/>
  <c r="B20" i="12"/>
  <c r="B19" i="12"/>
  <c r="B21" i="12"/>
  <c r="B12" i="12" l="1"/>
  <c r="B11" i="12"/>
  <c r="B10" i="12"/>
  <c r="J591" i="1" l="1"/>
  <c r="H591" i="1"/>
  <c r="H208" i="1"/>
  <c r="I507" i="1"/>
  <c r="I528" i="1" l="1"/>
  <c r="G528" i="1"/>
  <c r="F528" i="1"/>
  <c r="I527" i="1"/>
  <c r="G527" i="1"/>
  <c r="F527" i="1"/>
  <c r="I526" i="1"/>
  <c r="H526" i="1"/>
  <c r="G526" i="1"/>
  <c r="F526" i="1"/>
  <c r="J465" i="1" l="1"/>
  <c r="J468" i="1"/>
  <c r="H104" i="1"/>
  <c r="J604" i="1"/>
  <c r="H333" i="1"/>
  <c r="K316" i="1"/>
  <c r="J316" i="1"/>
  <c r="I316" i="1"/>
  <c r="H316" i="1"/>
  <c r="G316" i="1"/>
  <c r="F316" i="1"/>
  <c r="H472" i="1"/>
  <c r="H468" i="1"/>
  <c r="H48" i="1"/>
  <c r="H9" i="1"/>
  <c r="I604" i="1" l="1"/>
  <c r="H604" i="1"/>
  <c r="H465" i="1"/>
  <c r="G97" i="1" l="1"/>
  <c r="G468" i="1"/>
  <c r="H368" i="1"/>
  <c r="H367" i="1"/>
  <c r="G368" i="1"/>
  <c r="G367" i="1"/>
  <c r="F368" i="1"/>
  <c r="F367" i="1"/>
  <c r="K360" i="1" l="1"/>
  <c r="K359" i="1"/>
  <c r="I359" i="1"/>
  <c r="H358" i="1"/>
  <c r="J360" i="1"/>
  <c r="I360" i="1"/>
  <c r="H360" i="1"/>
  <c r="G360" i="1"/>
  <c r="F360" i="1"/>
  <c r="J359" i="1"/>
  <c r="H359" i="1"/>
  <c r="G359" i="1"/>
  <c r="F359" i="1"/>
  <c r="K358" i="1"/>
  <c r="J358" i="1"/>
  <c r="I358" i="1"/>
  <c r="G358" i="1"/>
  <c r="F358" i="1"/>
  <c r="G9" i="1"/>
  <c r="G459" i="1"/>
  <c r="G439" i="1"/>
  <c r="H426" i="1"/>
  <c r="J426" i="1"/>
  <c r="K426" i="1"/>
  <c r="H400" i="1"/>
  <c r="J102" i="1"/>
  <c r="H244" i="1" l="1"/>
  <c r="H243" i="1"/>
  <c r="H226" i="1"/>
  <c r="F70" i="1" l="1"/>
  <c r="F110" i="1"/>
  <c r="F63" i="1"/>
  <c r="F29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D17" i="13" s="1"/>
  <c r="C17" i="13" s="1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C37" i="12" s="1"/>
  <c r="C40" i="12" s="1"/>
  <c r="B40" i="12"/>
  <c r="C27" i="12"/>
  <c r="B31" i="12"/>
  <c r="B9" i="12"/>
  <c r="B13" i="12"/>
  <c r="C9" i="12"/>
  <c r="B18" i="12"/>
  <c r="B22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L536" i="1"/>
  <c r="I549" i="1" s="1"/>
  <c r="L537" i="1"/>
  <c r="I550" i="1" s="1"/>
  <c r="L538" i="1"/>
  <c r="I551" i="1" s="1"/>
  <c r="L541" i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I456" i="1"/>
  <c r="J43" i="1" s="1"/>
  <c r="I457" i="1"/>
  <c r="J37" i="1" s="1"/>
  <c r="I459" i="1"/>
  <c r="J48" i="1" s="1"/>
  <c r="G47" i="2" s="1"/>
  <c r="C49" i="2"/>
  <c r="C56" i="2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D115" i="2"/>
  <c r="F115" i="2"/>
  <c r="G115" i="2"/>
  <c r="E120" i="2"/>
  <c r="E121" i="2"/>
  <c r="E122" i="2"/>
  <c r="E124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6" i="1"/>
  <c r="L417" i="1"/>
  <c r="L419" i="1" s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H461" i="1" s="1"/>
  <c r="H641" i="1" s="1"/>
  <c r="G461" i="1"/>
  <c r="H640" i="1" s="1"/>
  <c r="F470" i="1"/>
  <c r="G470" i="1"/>
  <c r="H470" i="1"/>
  <c r="I470" i="1"/>
  <c r="I476" i="1" s="1"/>
  <c r="H625" i="1" s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1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G643" i="1"/>
  <c r="G644" i="1"/>
  <c r="G645" i="1"/>
  <c r="G649" i="1"/>
  <c r="G651" i="1"/>
  <c r="G652" i="1"/>
  <c r="H652" i="1"/>
  <c r="G653" i="1"/>
  <c r="H653" i="1"/>
  <c r="G654" i="1"/>
  <c r="H654" i="1"/>
  <c r="H655" i="1"/>
  <c r="J655" i="1" s="1"/>
  <c r="L256" i="1"/>
  <c r="L351" i="1"/>
  <c r="D18" i="13"/>
  <c r="C18" i="13" s="1"/>
  <c r="D19" i="13"/>
  <c r="C19" i="13" s="1"/>
  <c r="H112" i="1"/>
  <c r="G552" i="1"/>
  <c r="F476" i="1"/>
  <c r="H622" i="1" s="1"/>
  <c r="F169" i="1"/>
  <c r="I552" i="1"/>
  <c r="K550" i="1"/>
  <c r="G22" i="2"/>
  <c r="H140" i="1"/>
  <c r="F22" i="13"/>
  <c r="C22" i="13" s="1"/>
  <c r="G36" i="2"/>
  <c r="C111" i="2" l="1"/>
  <c r="C30" i="12"/>
  <c r="C29" i="12"/>
  <c r="C28" i="12"/>
  <c r="C31" i="12" s="1"/>
  <c r="A31" i="12" s="1"/>
  <c r="C19" i="12"/>
  <c r="C21" i="12"/>
  <c r="C20" i="12"/>
  <c r="C12" i="12"/>
  <c r="C11" i="12"/>
  <c r="C10" i="12"/>
  <c r="J649" i="1"/>
  <c r="L614" i="1"/>
  <c r="D50" i="2"/>
  <c r="F78" i="2"/>
  <c r="F81" i="2" s="1"/>
  <c r="F18" i="2"/>
  <c r="G156" i="2"/>
  <c r="I571" i="1"/>
  <c r="L565" i="1"/>
  <c r="L571" i="1" s="1"/>
  <c r="F571" i="1"/>
  <c r="K545" i="1"/>
  <c r="I545" i="1"/>
  <c r="H545" i="1"/>
  <c r="G545" i="1"/>
  <c r="E62" i="2"/>
  <c r="H476" i="1"/>
  <c r="H624" i="1" s="1"/>
  <c r="J624" i="1" s="1"/>
  <c r="E123" i="2"/>
  <c r="E119" i="2"/>
  <c r="E118" i="2"/>
  <c r="E110" i="2"/>
  <c r="H338" i="1"/>
  <c r="H352" i="1" s="1"/>
  <c r="G338" i="1"/>
  <c r="G352" i="1" s="1"/>
  <c r="E109" i="2"/>
  <c r="F338" i="1"/>
  <c r="F352" i="1" s="1"/>
  <c r="J338" i="1"/>
  <c r="J352" i="1" s="1"/>
  <c r="H52" i="1"/>
  <c r="H619" i="1" s="1"/>
  <c r="J619" i="1" s="1"/>
  <c r="G661" i="1"/>
  <c r="L362" i="1"/>
  <c r="D127" i="2"/>
  <c r="D128" i="2" s="1"/>
  <c r="D145" i="2" s="1"/>
  <c r="H661" i="1"/>
  <c r="D62" i="2"/>
  <c r="F461" i="1"/>
  <c r="H639" i="1" s="1"/>
  <c r="I408" i="1"/>
  <c r="L401" i="1"/>
  <c r="C139" i="2" s="1"/>
  <c r="J641" i="1"/>
  <c r="J640" i="1"/>
  <c r="G62" i="2"/>
  <c r="H408" i="1"/>
  <c r="H644" i="1" s="1"/>
  <c r="J644" i="1" s="1"/>
  <c r="J643" i="1"/>
  <c r="G408" i="1"/>
  <c r="H645" i="1" s="1"/>
  <c r="J645" i="1" s="1"/>
  <c r="L393" i="1"/>
  <c r="C138" i="2" s="1"/>
  <c r="G625" i="1"/>
  <c r="J625" i="1" s="1"/>
  <c r="F192" i="1"/>
  <c r="K605" i="1"/>
  <c r="G648" i="1" s="1"/>
  <c r="J651" i="1"/>
  <c r="J623" i="1"/>
  <c r="H25" i="13"/>
  <c r="C25" i="13" s="1"/>
  <c r="C132" i="2"/>
  <c r="L270" i="1"/>
  <c r="C32" i="10"/>
  <c r="C12" i="10"/>
  <c r="C10" i="10"/>
  <c r="L247" i="1"/>
  <c r="C109" i="2"/>
  <c r="E16" i="13"/>
  <c r="C16" i="13" s="1"/>
  <c r="C17" i="10"/>
  <c r="C125" i="2"/>
  <c r="C19" i="10"/>
  <c r="C121" i="2"/>
  <c r="C15" i="10"/>
  <c r="F257" i="1"/>
  <c r="F271" i="1" s="1"/>
  <c r="J257" i="1"/>
  <c r="J271" i="1" s="1"/>
  <c r="C110" i="2"/>
  <c r="H257" i="1"/>
  <c r="H271" i="1" s="1"/>
  <c r="L229" i="1"/>
  <c r="H647" i="1"/>
  <c r="C21" i="10"/>
  <c r="C18" i="10"/>
  <c r="E8" i="13"/>
  <c r="C8" i="13" s="1"/>
  <c r="C120" i="2"/>
  <c r="A40" i="12"/>
  <c r="G164" i="2"/>
  <c r="E103" i="2"/>
  <c r="E63" i="2"/>
  <c r="D81" i="2"/>
  <c r="D91" i="2"/>
  <c r="D12" i="13"/>
  <c r="C12" i="13" s="1"/>
  <c r="D5" i="13"/>
  <c r="C5" i="13" s="1"/>
  <c r="C91" i="2"/>
  <c r="C78" i="2"/>
  <c r="C70" i="2"/>
  <c r="F112" i="1"/>
  <c r="J622" i="1"/>
  <c r="J617" i="1"/>
  <c r="J549" i="1"/>
  <c r="J552" i="1" s="1"/>
  <c r="L544" i="1"/>
  <c r="H551" i="1"/>
  <c r="L534" i="1"/>
  <c r="F549" i="1"/>
  <c r="L524" i="1"/>
  <c r="C29" i="10"/>
  <c r="F130" i="2"/>
  <c r="F144" i="2" s="1"/>
  <c r="F145" i="2" s="1"/>
  <c r="J49" i="1"/>
  <c r="G48" i="2" s="1"/>
  <c r="I460" i="1"/>
  <c r="J22" i="1"/>
  <c r="I452" i="1"/>
  <c r="J10" i="1"/>
  <c r="G9" i="2" s="1"/>
  <c r="I446" i="1"/>
  <c r="G642" i="1" s="1"/>
  <c r="D18" i="2"/>
  <c r="K598" i="1"/>
  <c r="G647" i="1" s="1"/>
  <c r="K571" i="1"/>
  <c r="L560" i="1"/>
  <c r="J545" i="1"/>
  <c r="I257" i="1"/>
  <c r="I271" i="1" s="1"/>
  <c r="K257" i="1"/>
  <c r="K271" i="1" s="1"/>
  <c r="G257" i="1"/>
  <c r="G271" i="1" s="1"/>
  <c r="B161" i="2"/>
  <c r="G161" i="2" s="1"/>
  <c r="K500" i="1"/>
  <c r="G157" i="2"/>
  <c r="D31" i="2"/>
  <c r="D51" i="2" s="1"/>
  <c r="E31" i="2"/>
  <c r="C18" i="2"/>
  <c r="J639" i="1"/>
  <c r="L427" i="1"/>
  <c r="L434" i="1" s="1"/>
  <c r="G638" i="1" s="1"/>
  <c r="J638" i="1" s="1"/>
  <c r="E143" i="2"/>
  <c r="E144" i="2" s="1"/>
  <c r="C26" i="10"/>
  <c r="I169" i="1"/>
  <c r="F85" i="2"/>
  <c r="F91" i="2" s="1"/>
  <c r="C35" i="10"/>
  <c r="D56" i="2"/>
  <c r="L328" i="1"/>
  <c r="L309" i="1"/>
  <c r="L290" i="1"/>
  <c r="C11" i="10"/>
  <c r="I369" i="1"/>
  <c r="H634" i="1" s="1"/>
  <c r="J634" i="1" s="1"/>
  <c r="D29" i="13"/>
  <c r="C29" i="13" s="1"/>
  <c r="C124" i="2"/>
  <c r="D15" i="13"/>
  <c r="C15" i="13" s="1"/>
  <c r="G650" i="1"/>
  <c r="G662" i="1"/>
  <c r="I662" i="1" s="1"/>
  <c r="D14" i="13"/>
  <c r="C14" i="13" s="1"/>
  <c r="C20" i="10"/>
  <c r="C123" i="2"/>
  <c r="D7" i="13"/>
  <c r="C7" i="13" s="1"/>
  <c r="C16" i="10"/>
  <c r="C119" i="2"/>
  <c r="C118" i="2"/>
  <c r="D6" i="13"/>
  <c r="C6" i="13" s="1"/>
  <c r="C13" i="10"/>
  <c r="L211" i="1"/>
  <c r="C112" i="2"/>
  <c r="C122" i="2"/>
  <c r="E13" i="13"/>
  <c r="C13" i="13" s="1"/>
  <c r="G81" i="2"/>
  <c r="C62" i="2"/>
  <c r="C63" i="2" s="1"/>
  <c r="G112" i="1"/>
  <c r="K503" i="1"/>
  <c r="L382" i="1"/>
  <c r="G636" i="1" s="1"/>
  <c r="J636" i="1" s="1"/>
  <c r="K338" i="1"/>
  <c r="K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F545" i="1"/>
  <c r="H434" i="1"/>
  <c r="J620" i="1"/>
  <c r="D103" i="2"/>
  <c r="I140" i="1"/>
  <c r="J652" i="1"/>
  <c r="G571" i="1"/>
  <c r="I434" i="1"/>
  <c r="G434" i="1"/>
  <c r="I663" i="1"/>
  <c r="C27" i="10"/>
  <c r="G635" i="1"/>
  <c r="J635" i="1" s="1"/>
  <c r="C22" i="12" l="1"/>
  <c r="A22" i="12" s="1"/>
  <c r="C13" i="12"/>
  <c r="A13" i="12" s="1"/>
  <c r="D63" i="2"/>
  <c r="H33" i="13"/>
  <c r="L545" i="1"/>
  <c r="E104" i="2"/>
  <c r="E128" i="2"/>
  <c r="E115" i="2"/>
  <c r="G660" i="1"/>
  <c r="G664" i="1" s="1"/>
  <c r="G667" i="1" s="1"/>
  <c r="D31" i="13"/>
  <c r="C31" i="13" s="1"/>
  <c r="L338" i="1"/>
  <c r="L352" i="1" s="1"/>
  <c r="G633" i="1" s="1"/>
  <c r="J633" i="1" s="1"/>
  <c r="I661" i="1"/>
  <c r="I461" i="1"/>
  <c r="H642" i="1" s="1"/>
  <c r="J642" i="1" s="1"/>
  <c r="C141" i="2"/>
  <c r="C144" i="2" s="1"/>
  <c r="I193" i="1"/>
  <c r="G630" i="1" s="1"/>
  <c r="J630" i="1" s="1"/>
  <c r="H660" i="1"/>
  <c r="H664" i="1" s="1"/>
  <c r="H648" i="1"/>
  <c r="J648" i="1" s="1"/>
  <c r="L257" i="1"/>
  <c r="L271" i="1" s="1"/>
  <c r="G632" i="1" s="1"/>
  <c r="J632" i="1" s="1"/>
  <c r="C115" i="2"/>
  <c r="J647" i="1"/>
  <c r="D104" i="2"/>
  <c r="G51" i="2"/>
  <c r="G104" i="2"/>
  <c r="C81" i="2"/>
  <c r="C36" i="10"/>
  <c r="G18" i="2"/>
  <c r="C28" i="10"/>
  <c r="D23" i="10" s="1"/>
  <c r="C104" i="2"/>
  <c r="F193" i="1"/>
  <c r="G627" i="1" s="1"/>
  <c r="J627" i="1" s="1"/>
  <c r="F104" i="2"/>
  <c r="C128" i="2"/>
  <c r="J19" i="1"/>
  <c r="G621" i="1" s="1"/>
  <c r="E51" i="2"/>
  <c r="K549" i="1"/>
  <c r="F552" i="1"/>
  <c r="H552" i="1"/>
  <c r="K551" i="1"/>
  <c r="L408" i="1"/>
  <c r="F660" i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C38" i="10"/>
  <c r="K552" i="1" l="1"/>
  <c r="E145" i="2"/>
  <c r="D33" i="13"/>
  <c r="D36" i="13" s="1"/>
  <c r="C145" i="2"/>
  <c r="G672" i="1"/>
  <c r="C5" i="10" s="1"/>
  <c r="H672" i="1"/>
  <c r="C6" i="10" s="1"/>
  <c r="H667" i="1"/>
  <c r="D13" i="10"/>
  <c r="D25" i="10"/>
  <c r="D21" i="10"/>
  <c r="D20" i="10"/>
  <c r="D15" i="10"/>
  <c r="D19" i="10"/>
  <c r="D11" i="10"/>
  <c r="D22" i="10"/>
  <c r="D27" i="10"/>
  <c r="D18" i="10"/>
  <c r="D17" i="10"/>
  <c r="D12" i="10"/>
  <c r="D24" i="10"/>
  <c r="D10" i="10"/>
  <c r="D26" i="10"/>
  <c r="C30" i="10"/>
  <c r="D16" i="10"/>
  <c r="G637" i="1"/>
  <c r="J637" i="1" s="1"/>
  <c r="H646" i="1"/>
  <c r="J646" i="1" s="1"/>
  <c r="F664" i="1"/>
  <c r="I660" i="1"/>
  <c r="I664" i="1" s="1"/>
  <c r="I672" i="1" s="1"/>
  <c r="C7" i="10" s="1"/>
  <c r="J621" i="1"/>
  <c r="C41" i="10"/>
  <c r="D38" i="10" s="1"/>
  <c r="H656" i="1" l="1"/>
  <c r="D28" i="10"/>
  <c r="F672" i="1"/>
  <c r="C4" i="10" s="1"/>
  <c r="F667" i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<sst xmlns="http://schemas.openxmlformats.org/spreadsheetml/2006/main" count="3957" uniqueCount="915">
  <si>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</si>
  <si>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</si>
  <si>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</si>
  <si>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</si>
  <si>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</si>
  <si>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</si>
  <si>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</si>
  <si>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</si>
  <si>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</si>
  <si>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</si>
  <si>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</si>
  <si>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</si>
  <si>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</si>
  <si>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</si>
  <si>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</si>
  <si>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</si>
  <si>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</si>
  <si>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</si>
  <si>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</si>
  <si>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</si>
  <si>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</si>
  <si>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</si>
  <si>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</si>
  <si>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</si>
  <si>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</si>
  <si>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</si>
  <si>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</si>
  <si>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</si>
  <si>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</si>
  <si>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</si>
  <si>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</si>
  <si>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</si>
  <si>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</si>
  <si>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</si>
  <si>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</si>
  <si>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</si>
  <si>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</si>
  <si>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</si>
  <si>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</si>
  <si>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</si>
  <si>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</si>
  <si>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</si>
  <si>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</si>
  <si>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</si>
  <si>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</si>
  <si>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</si>
  <si>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</si>
  <si>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</si>
  <si>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</si>
  <si>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</si>
  <si>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</si>
  <si>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</si>
  <si>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</si>
  <si>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</si>
  <si>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</si>
  <si>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</si>
  <si>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</si>
  <si>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</si>
  <si>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</si>
  <si>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</si>
  <si>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</si>
  <si>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</si>
  <si>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</si>
  <si>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</si>
  <si>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</si>
  <si>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</si>
  <si>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</si>
  <si>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</si>
  <si>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</si>
  <si>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</si>
  <si>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</si>
  <si>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</si>
  <si>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</si>
  <si>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</si>
  <si>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</si>
  <si>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</si>
  <si>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</si>
  <si>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</si>
  <si>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</si>
  <si>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</si>
  <si>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</si>
  <si>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</si>
  <si>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</si>
  <si>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</si>
  <si>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</si>
  <si>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</si>
  <si>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</si>
  <si>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</si>
  <si>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</si>
  <si>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</si>
  <si>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</si>
  <si>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</si>
  <si>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</si>
  <si>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</si>
  <si>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</si>
  <si>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</si>
  <si>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</si>
  <si>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</si>
  <si>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</si>
  <si>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</si>
  <si>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</si>
  <si>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</si>
  <si>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</si>
  <si>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</si>
  <si>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</si>
  <si>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</si>
  <si>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</si>
  <si>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</si>
  <si>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</si>
  <si>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</si>
  <si>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</si>
  <si>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</si>
  <si>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</si>
  <si>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</si>
  <si>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</si>
  <si>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</si>
  <si>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</si>
  <si>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</si>
  <si>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</si>
  <si>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</si>
  <si>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</si>
  <si>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</si>
  <si>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</si>
  <si>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</si>
  <si>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</si>
  <si>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</si>
  <si>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</si>
  <si>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</si>
  <si>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</si>
  <si>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</si>
  <si>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</si>
  <si>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</si>
  <si>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</si>
  <si>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</si>
  <si>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</si>
  <si>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</si>
  <si>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</si>
  <si>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</si>
  <si>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</si>
  <si>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</si>
  <si>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</si>
  <si>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</si>
  <si>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</si>
  <si>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</si>
  <si>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</si>
  <si>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</si>
  <si>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</si>
  <si>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</si>
  <si>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</si>
  <si>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</si>
  <si>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</si>
  <si>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</si>
  <si>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</si>
  <si>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</si>
  <si>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</si>
  <si>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</si>
  <si>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</si>
  <si>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</si>
  <si>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</si>
  <si>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</si>
  <si>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</si>
  <si>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</si>
  <si>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</si>
  <si>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</si>
  <si>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</si>
  <si>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</si>
  <si>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</si>
  <si>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</si>
  <si>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</si>
  <si>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</si>
  <si>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</si>
  <si>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</si>
  <si>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</si>
  <si>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</si>
  <si>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</si>
  <si>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</si>
  <si>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</si>
  <si>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</si>
  <si>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</si>
  <si>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</si>
  <si>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</si>
  <si>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</si>
  <si>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</si>
  <si>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</si>
  <si>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</si>
  <si>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</si>
  <si>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</si>
  <si>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</si>
  <si>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</si>
  <si>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</si>
  <si>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</si>
  <si>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</si>
  <si>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</si>
  <si>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</si>
  <si>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</si>
  <si>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</si>
  <si>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</si>
  <si>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</si>
  <si>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</si>
  <si>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</si>
  <si>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</si>
  <si>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</si>
  <si>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</si>
  <si>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</si>
  <si>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</si>
  <si>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</si>
  <si>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</si>
  <si>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</si>
  <si>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</si>
  <si>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</si>
  <si>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</si>
  <si>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</si>
  <si>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</si>
  <si>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</si>
  <si>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</si>
  <si>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</si>
  <si>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</si>
  <si>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</si>
  <si>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</si>
  <si>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</si>
  <si>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</si>
  <si>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</si>
  <si>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</si>
  <si>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</si>
  <si>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</si>
  <si>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</si>
  <si>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</si>
  <si>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</si>
  <si>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</si>
  <si>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</si>
  <si>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</si>
  <si>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</si>
  <si>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</si>
  <si>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</si>
  <si>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</si>
  <si>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</si>
  <si>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</si>
  <si>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</si>
  <si>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</si>
  <si>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</si>
  <si>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</si>
  <si>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</si>
  <si>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</si>
  <si>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</si>
  <si>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</si>
  <si>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</si>
  <si>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</si>
  <si>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</si>
  <si>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</si>
  <si>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</si>
  <si>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</si>
  <si>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</si>
  <si>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</si>
  <si>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</si>
  <si>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</si>
  <si>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</si>
  <si>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</si>
  <si>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</si>
  <si>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</si>
  <si>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</si>
  <si>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</si>
  <si>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</si>
  <si>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</si>
  <si>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</si>
  <si>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</si>
  <si>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</si>
  <si>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</si>
  <si>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</si>
  <si>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</si>
  <si>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</si>
  <si>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</si>
  <si>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</si>
  <si>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</si>
  <si>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</si>
  <si>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</si>
  <si>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</si>
  <si>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</si>
  <si>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</si>
  <si>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</si>
  <si>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</si>
  <si>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</si>
  <si>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</si>
  <si>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</si>
  <si>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</si>
  <si>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</si>
  <si>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</si>
  <si>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</si>
  <si>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</si>
  <si>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</si>
  <si>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</si>
  <si>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</si>
  <si>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</si>
  <si>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</si>
  <si>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</si>
  <si>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</si>
  <si>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</si>
  <si>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</si>
  <si>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</si>
  <si>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</si>
  <si>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</si>
  <si>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</si>
  <si>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</si>
  <si>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</si>
  <si>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</si>
  <si>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</si>
  <si>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</si>
  <si>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</si>
  <si>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</si>
  <si>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</si>
  <si>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</si>
  <si>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</si>
  <si>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</si>
  <si>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</si>
  <si>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</si>
  <si>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</si>
  <si>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</si>
  <si>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</si>
  <si>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</si>
  <si>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</si>
  <si>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</si>
  <si>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</si>
  <si>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</si>
  <si>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</si>
  <si>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</si>
  <si>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</si>
  <si>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</si>
  <si>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</si>
  <si>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</si>
  <si>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</si>
  <si>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</si>
  <si>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</si>
  <si>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</si>
  <si>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</si>
  <si>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</si>
  <si>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</si>
  <si>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</si>
  <si>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</si>
  <si>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</si>
  <si>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</si>
  <si>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</si>
  <si>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</si>
  <si>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</si>
  <si>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</si>
  <si>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</si>
  <si>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</si>
  <si>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</si>
  <si>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</si>
  <si>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</si>
  <si>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</si>
  <si>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</si>
  <si>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</si>
  <si>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</si>
  <si>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</si>
  <si>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</si>
  <si>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</si>
  <si>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</si>
  <si>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</si>
  <si>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</si>
  <si>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</si>
  <si>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</si>
  <si>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</si>
  <si>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</si>
  <si>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</si>
  <si>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</si>
  <si>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</si>
  <si>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</si>
  <si>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</si>
  <si>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</si>
  <si>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</si>
  <si>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</si>
  <si>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</si>
  <si>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</si>
  <si>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</si>
  <si>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</si>
  <si>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</si>
  <si>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</si>
  <si>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</si>
  <si>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</si>
  <si>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</si>
  <si>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</si>
  <si>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</si>
  <si>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</si>
  <si>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</si>
  <si>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</si>
  <si>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</si>
  <si>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</si>
  <si>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</si>
  <si>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</si>
  <si>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</si>
  <si>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</si>
  <si>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</si>
  <si>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</si>
  <si>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</si>
  <si>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</si>
  <si>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</si>
  <si>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</si>
  <si>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</si>
  <si>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</si>
  <si>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</si>
  <si>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</si>
  <si>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</si>
  <si>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</si>
  <si>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</si>
  <si>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</si>
  <si>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</si>
  <si>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</si>
  <si>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</si>
  <si>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</si>
  <si>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</si>
  <si>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</si>
  <si>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</si>
  <si>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</si>
  <si>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</si>
  <si>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</si>
  <si>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</si>
  <si>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</si>
  <si>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</si>
  <si>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</si>
  <si>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</si>
  <si>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</si>
  <si>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</si>
  <si>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</si>
  <si>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</si>
  <si>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</si>
  <si>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</si>
  <si>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</si>
  <si>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</si>
  <si>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</si>
  <si>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</si>
  <si>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</si>
  <si>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</si>
  <si>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</si>
  <si>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</si>
  <si>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</si>
  <si>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</si>
  <si>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</si>
  <si>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</si>
  <si>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</si>
  <si>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</si>
  <si>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</si>
  <si>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</si>
  <si>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</si>
  <si>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</si>
  <si>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</si>
  <si>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</si>
  <si>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</si>
  <si>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</si>
  <si>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</si>
  <si>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</si>
  <si>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</si>
  <si>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</si>
  <si>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</si>
  <si>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</si>
  <si>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</si>
  <si>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</si>
  <si>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</si>
  <si>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</si>
  <si>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</si>
  <si>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</si>
  <si>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</si>
  <si>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</si>
  <si>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</si>
  <si>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</si>
  <si>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</si>
  <si>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</si>
  <si>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</si>
  <si>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</si>
  <si>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</si>
  <si>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</si>
  <si>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</si>
  <si>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</si>
  <si>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</si>
  <si>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</si>
  <si>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</si>
  <si>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</si>
  <si>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</si>
  <si>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</si>
  <si>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</si>
  <si>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</si>
  <si>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</si>
  <si>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</si>
  <si>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</si>
  <si>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</si>
  <si>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</si>
  <si>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</si>
  <si>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</si>
  <si>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</si>
  <si>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</si>
  <si>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</si>
  <si>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</si>
  <si>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</si>
  <si>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</si>
  <si>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</si>
  <si>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</si>
  <si>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</si>
  <si>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</si>
  <si>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</si>
  <si>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</si>
  <si>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</si>
  <si>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</si>
  <si>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</si>
  <si>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</si>
  <si>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</si>
  <si>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</si>
  <si>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</si>
  <si>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</si>
  <si>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</si>
  <si>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</si>
  <si>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</si>
  <si>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</si>
  <si>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</si>
  <si>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</si>
  <si>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</si>
  <si>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</si>
  <si>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</si>
  <si>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</si>
  <si>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</si>
  <si>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</si>
  <si>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</si>
  <si>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</si>
  <si>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</si>
  <si>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</si>
  <si>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</si>
  <si>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</si>
  <si>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</si>
  <si>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</si>
  <si>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</si>
  <si>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</si>
  <si>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</si>
  <si>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</si>
  <si>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</si>
  <si>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</si>
  <si>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</si>
  <si>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</si>
  <si>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</si>
  <si>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</si>
  <si>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</si>
  <si>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</si>
  <si>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</si>
  <si>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</si>
  <si>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</si>
  <si>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</si>
  <si>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</si>
  <si>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</si>
  <si>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</si>
  <si>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</si>
  <si>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</si>
  <si>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</si>
  <si>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</si>
  <si>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</si>
  <si>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</si>
  <si>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</si>
  <si>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</si>
  <si>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</si>
  <si>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</si>
  <si>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</si>
  <si>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</si>
  <si>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</si>
  <si>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</si>
  <si>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</si>
  <si>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</si>
  <si>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</si>
  <si>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</si>
  <si>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</si>
  <si>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</si>
  <si>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</si>
  <si>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</si>
  <si>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</si>
  <si>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</si>
  <si>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</si>
  <si>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</si>
  <si>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</si>
  <si>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</si>
  <si>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</si>
  <si>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</si>
  <si>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</si>
  <si>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</si>
  <si>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</si>
  <si>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</si>
  <si>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</si>
  <si>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</si>
  <si>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</si>
  <si>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</si>
  <si>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</si>
  <si>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</si>
  <si>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</si>
  <si>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</si>
  <si>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</si>
  <si>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</si>
  <si>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</si>
  <si>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</si>
  <si>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</si>
  <si>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</si>
  <si>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</si>
  <si>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</si>
  <si>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</si>
  <si>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</si>
  <si>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</si>
  <si>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</si>
  <si>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</si>
  <si>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</si>
  <si>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</si>
  <si>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</si>
  <si>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</si>
  <si>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</si>
  <si>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</si>
  <si>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</si>
  <si>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</si>
  <si>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</si>
  <si>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</si>
  <si>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</si>
  <si>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</si>
  <si>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</si>
  <si>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</si>
  <si>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</si>
  <si>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</si>
  <si>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</si>
  <si>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</si>
  <si>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</si>
  <si>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</si>
  <si>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</si>
  <si>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</si>
  <si>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</si>
  <si>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</si>
  <si>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</si>
  <si>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</si>
  <si>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</si>
  <si>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</si>
  <si>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</si>
  <si>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</si>
  <si>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</si>
  <si>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</si>
  <si>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</si>
  <si>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</si>
  <si>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</si>
  <si>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</si>
  <si>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</si>
  <si>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</si>
  <si>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</si>
  <si>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</si>
  <si>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</si>
  <si>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</si>
  <si>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</si>
  <si>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</si>
  <si>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</si>
  <si>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</si>
  <si>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</si>
  <si>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</si>
  <si>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</si>
  <si>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</si>
  <si>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</si>
  <si>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</si>
  <si>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</si>
  <si>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</si>
  <si>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</si>
  <si>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</si>
  <si>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</si>
  <si>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</si>
  <si>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</si>
  <si>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</si>
  <si>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</si>
  <si>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</si>
  <si>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</si>
  <si>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</si>
  <si>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</si>
  <si>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</si>
  <si>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</si>
  <si>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</si>
  <si>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</si>
  <si>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</si>
  <si>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</si>
  <si>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</si>
  <si>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</si>
  <si>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</si>
  <si>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</si>
  <si>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</si>
  <si>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</si>
  <si>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</si>
  <si>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</si>
  <si>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</si>
  <si>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</si>
  <si>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</si>
  <si>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</si>
  <si>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</si>
  <si>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</si>
  <si>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</si>
  <si>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</si>
  <si>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</si>
  <si>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</si>
  <si>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</si>
  <si>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</si>
  <si>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</si>
  <si>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</si>
  <si>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</si>
  <si>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</si>
  <si>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</si>
  <si>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</si>
  <si>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</si>
  <si>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</si>
  <si>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</si>
  <si>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</si>
  <si>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</si>
  <si>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</si>
  <si>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</si>
  <si>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</si>
  <si>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</si>
  <si>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</si>
  <si>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</si>
  <si>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</si>
  <si>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</si>
  <si>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</si>
  <si>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</si>
  <si>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</si>
  <si>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</si>
  <si>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</si>
  <si>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</si>
  <si>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</si>
  <si>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</si>
  <si>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</si>
  <si>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</si>
  <si>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</si>
  <si>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</si>
  <si>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</si>
  <si>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</si>
  <si>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</si>
  <si>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</si>
  <si>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</si>
  <si>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</si>
  <si>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</si>
  <si>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</si>
  <si>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</si>
  <si>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</si>
  <si>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</si>
  <si>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</si>
  <si>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</si>
  <si>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</si>
  <si>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</si>
  <si>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</si>
  <si>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</si>
  <si>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</si>
  <si>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</si>
  <si>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</si>
  <si>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</si>
  <si>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</si>
  <si>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</si>
  <si>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</si>
  <si>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</si>
  <si>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</si>
  <si>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</si>
  <si>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</si>
  <si>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</si>
  <si>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</si>
  <si>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</si>
  <si>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</si>
  <si>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</si>
  <si>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</si>
  <si>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</si>
  <si>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</si>
  <si>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</si>
  <si>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</si>
  <si>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</si>
  <si>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</si>
  <si>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</si>
  <si>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</si>
  <si>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</si>
  <si>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</si>
  <si>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</si>
  <si>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</si>
  <si>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</si>
  <si>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</si>
  <si>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</si>
  <si>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</si>
  <si>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</si>
  <si>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</si>
  <si>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</si>
  <si>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</si>
  <si>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</si>
  <si>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</si>
  <si>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</si>
  <si>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</si>
  <si>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</si>
  <si>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</si>
  <si>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</si>
  <si>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</si>
  <si>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</si>
  <si>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</si>
  <si>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</si>
  <si>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</si>
  <si>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</si>
  <si>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</si>
  <si>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</si>
  <si>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</si>
  <si>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</si>
  <si>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</si>
  <si>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</si>
  <si>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</si>
  <si>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</si>
  <si>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</si>
  <si>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</si>
  <si>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</si>
  <si>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</si>
  <si>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</si>
  <si>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</si>
  <si>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</si>
  <si>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</si>
  <si>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</si>
  <si>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</si>
  <si>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</si>
  <si>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</si>
  <si>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</si>
  <si>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</si>
  <si>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</si>
  <si>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</si>
  <si>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</si>
  <si>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</si>
  <si>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</si>
  <si>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</si>
  <si>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</si>
  <si>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</si>
  <si>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</si>
  <si>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</si>
  <si>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</si>
  <si>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</si>
  <si>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</si>
  <si>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</si>
  <si>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</si>
  <si>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</si>
  <si>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</si>
  <si>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</si>
  <si>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</si>
  <si>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</si>
  <si>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</si>
  <si>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</si>
  <si>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</si>
  <si>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</si>
  <si>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</si>
  <si>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</si>
  <si>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</si>
  <si>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</si>
  <si>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</si>
  <si>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</si>
  <si>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</si>
  <si>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</si>
  <si>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</si>
  <si>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</si>
  <si>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</si>
  <si>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</si>
  <si>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</si>
  <si>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</si>
  <si>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</si>
  <si>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</si>
  <si>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</si>
  <si>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</si>
  <si>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</si>
  <si>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</si>
  <si>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</si>
  <si>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</si>
  <si>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</si>
  <si>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</si>
  <si>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</si>
  <si>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</si>
  <si>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</si>
  <si>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</si>
  <si>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</si>
  <si>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</si>
  <si>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</si>
  <si>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</si>
  <si>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</si>
  <si>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</si>
  <si>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</si>
  <si>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</si>
  <si>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</si>
  <si>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</si>
  <si>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</si>
  <si>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</si>
  <si>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</si>
  <si>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</si>
  <si>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</si>
  <si>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</si>
  <si>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</si>
  <si>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</si>
  <si>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</si>
  <si>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</si>
  <si>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</si>
  <si>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</si>
  <si>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</si>
  <si>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</si>
  <si>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</si>
  <si>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</si>
  <si>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</si>
  <si>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</si>
  <si>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</si>
  <si>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</si>
  <si>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</si>
  <si>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</si>
  <si>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</si>
  <si>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</si>
  <si>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</si>
  <si>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</si>
  <si>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</si>
  <si>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</si>
  <si>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</si>
  <si>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</si>
  <si>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</si>
  <si>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</si>
  <si>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</si>
  <si>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</si>
  <si>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</si>
  <si>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</si>
  <si>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</si>
  <si>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</si>
  <si>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</si>
  <si>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HUDSON SCHOOL DISTRICT</t>
  </si>
  <si>
    <t>08/10</t>
  </si>
  <si>
    <t>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</si>
</sst>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267</v>
      </c>
      <c r="C2" s="21">
        <v>267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2313085.17+100+100</f>
        <v>2313285.17</v>
      </c>
      <c r="G9" s="18">
        <f>107928.04+450</f>
        <v>108378.04</v>
      </c>
      <c r="H9" s="18">
        <f>-396024.58+82419.68+51730.07+45240.64+19068.42+19219.34+50515.62+56210.39</f>
        <v>-71620.420000000027</v>
      </c>
      <c r="I9" s="18"/>
      <c r="J9" s="67">
        <f>SUM(I439)</f>
        <v>646962.67999999993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402140.53</v>
      </c>
      <c r="G12" s="18"/>
      <c r="H12" s="18"/>
      <c r="I12" s="18"/>
      <c r="J12" s="67">
        <f>SUM(I441)</f>
        <v>5281.72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157780.01</v>
      </c>
      <c r="G13" s="18">
        <v>19661.04</v>
      </c>
      <c r="H13" s="18">
        <v>401800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24292.959999999999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58132.53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2955631.1999999997</v>
      </c>
      <c r="G19" s="41">
        <f>SUM(G9:G18)</f>
        <v>128039.07999999999</v>
      </c>
      <c r="H19" s="41">
        <f>SUM(H9:H18)</f>
        <v>330179.57999999996</v>
      </c>
      <c r="I19" s="41">
        <f>SUM(I9:I18)</f>
        <v>0</v>
      </c>
      <c r="J19" s="41">
        <f>SUM(J9:J18)</f>
        <v>652244.39999999991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30215.49</v>
      </c>
      <c r="G23" s="18"/>
      <c r="H23" s="18">
        <v>5775.42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370589.05</v>
      </c>
      <c r="G24" s="18">
        <v>3038.43</v>
      </c>
      <c r="H24" s="18">
        <v>1049.48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16233.82</v>
      </c>
      <c r="G28" s="18">
        <v>26918.880000000001</v>
      </c>
      <c r="H28" s="18">
        <v>2790.29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123.99+3198.13+1150473.44</f>
        <v>1153795.56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4035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1574868.92</v>
      </c>
      <c r="G32" s="41">
        <f>SUM(G22:G31)</f>
        <v>29957.31</v>
      </c>
      <c r="H32" s="41">
        <f>SUM(H22:H31)</f>
        <v>9615.1899999999987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58132.53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98081.77</v>
      </c>
      <c r="H48" s="18">
        <f>78579.91+241984.48</f>
        <v>320564.39</v>
      </c>
      <c r="I48" s="18"/>
      <c r="J48" s="13">
        <f>SUM(I459)</f>
        <v>652244.39999999991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564555.68000000005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558074.06999999995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1380762.28</v>
      </c>
      <c r="G51" s="41">
        <f>SUM(G35:G50)</f>
        <v>98081.77</v>
      </c>
      <c r="H51" s="41">
        <f>SUM(H35:H50)</f>
        <v>320564.39</v>
      </c>
      <c r="I51" s="41">
        <f>SUM(I35:I50)</f>
        <v>0</v>
      </c>
      <c r="J51" s="41">
        <f>SUM(J35:J50)</f>
        <v>652244.39999999991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2955631.2</v>
      </c>
      <c r="G52" s="41">
        <f>G51+G32</f>
        <v>128039.08</v>
      </c>
      <c r="H52" s="41">
        <f>H51+H32</f>
        <v>330179.58</v>
      </c>
      <c r="I52" s="41">
        <f>I51+I32</f>
        <v>0</v>
      </c>
      <c r="J52" s="41">
        <f>J51+J32</f>
        <v>652244.39999999991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29111116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29111116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16850+67300</f>
        <v>84150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f>74980.27-16850-9562.09</f>
        <v>48568.180000000008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132718.18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6732.51</v>
      </c>
      <c r="G96" s="18">
        <v>230.05</v>
      </c>
      <c r="H96" s="18">
        <v>395.21</v>
      </c>
      <c r="I96" s="18"/>
      <c r="J96" s="18">
        <v>10223.530000000001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776727.39-60.13</f>
        <v>776667.26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9734.25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27661.75</v>
      </c>
      <c r="G101" s="18"/>
      <c r="H101" s="18">
        <v>9000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100000</v>
      </c>
      <c r="G102" s="18">
        <v>18503.14</v>
      </c>
      <c r="H102" s="18"/>
      <c r="I102" s="18"/>
      <c r="J102" s="18">
        <f>258869.02</f>
        <v>258869.02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>
        <f>39150.3+40130.4+42298.36</f>
        <v>121579.06000000001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257727.2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15187.64+12450.26+64320.52</f>
        <v>91958.42</v>
      </c>
      <c r="G110" s="18"/>
      <c r="H110" s="18">
        <v>69354.080000000002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493814.13</v>
      </c>
      <c r="G111" s="41">
        <f>SUM(G96:G110)</f>
        <v>795400.45000000007</v>
      </c>
      <c r="H111" s="41">
        <f>SUM(H96:H110)</f>
        <v>200328.35000000003</v>
      </c>
      <c r="I111" s="41">
        <f>SUM(I96:I110)</f>
        <v>0</v>
      </c>
      <c r="J111" s="41">
        <f>SUM(J96:J110)</f>
        <v>269092.55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29737648.309999999</v>
      </c>
      <c r="G112" s="41">
        <f>G60+G111</f>
        <v>795400.45000000007</v>
      </c>
      <c r="H112" s="41">
        <f>H60+H79+H94+H111</f>
        <v>200328.35000000003</v>
      </c>
      <c r="I112" s="41">
        <f>I60+I111</f>
        <v>0</v>
      </c>
      <c r="J112" s="41">
        <f>J60+J111</f>
        <v>269092.55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8768311.1400000006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6067793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14310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14850414.140000001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390237.55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411803.33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109827.48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2419.0100000000002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19062.86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2728.87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917016.24</v>
      </c>
      <c r="G136" s="41">
        <f>SUM(G123:G135)</f>
        <v>19062.86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15767430.380000001</v>
      </c>
      <c r="G140" s="41">
        <f>G121+SUM(G136:G137)</f>
        <v>19062.86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454528.06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100766.56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115603.2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62973.47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370431.32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784867.43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390123.21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584.38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390123.21</v>
      </c>
      <c r="G162" s="41">
        <f>SUM(G150:G161)</f>
        <v>370431.32</v>
      </c>
      <c r="H162" s="41">
        <f>SUM(H150:H161)</f>
        <v>1519323.0999999999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390123.21</v>
      </c>
      <c r="G169" s="41">
        <f>G147+G162+SUM(G163:G168)</f>
        <v>370431.32</v>
      </c>
      <c r="H169" s="41">
        <f>H147+H162+SUM(H163:H168)</f>
        <v>1519323.0999999999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31665.73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31665.73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31665.73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45926867.629999995</v>
      </c>
      <c r="G193" s="47">
        <f>G112+G140+G169+G192</f>
        <v>1184894.6300000001</v>
      </c>
      <c r="H193" s="47">
        <f>H112+H140+H169+H192</f>
        <v>1719651.45</v>
      </c>
      <c r="I193" s="47">
        <f>I112+I140+I169+I192</f>
        <v>0</v>
      </c>
      <c r="J193" s="47">
        <f>J112+J140+J192</f>
        <v>469092.55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4082525.44</v>
      </c>
      <c r="G197" s="18">
        <v>2196126.04</v>
      </c>
      <c r="H197" s="18">
        <v>117467.09999999999</v>
      </c>
      <c r="I197" s="18">
        <v>235810.99</v>
      </c>
      <c r="J197" s="18">
        <v>13851.07</v>
      </c>
      <c r="K197" s="18">
        <v>114</v>
      </c>
      <c r="L197" s="19">
        <f>SUM(F197:K197)</f>
        <v>6645894.6400000006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2115104.23</v>
      </c>
      <c r="G198" s="18">
        <v>745596.33</v>
      </c>
      <c r="H198" s="18">
        <v>174621.07000000007</v>
      </c>
      <c r="I198" s="18">
        <v>23383.33</v>
      </c>
      <c r="J198" s="18">
        <v>24765.47</v>
      </c>
      <c r="K198" s="18"/>
      <c r="L198" s="19">
        <f>SUM(F198:K198)</f>
        <v>3083470.43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4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6400</v>
      </c>
      <c r="G200" s="18">
        <v>1676.91</v>
      </c>
      <c r="H200" s="18"/>
      <c r="I200" s="18"/>
      <c r="J200" s="18"/>
      <c r="K200" s="18"/>
      <c r="L200" s="19">
        <f>SUM(F200:K200)</f>
        <v>8076.91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961619.28</v>
      </c>
      <c r="G202" s="18">
        <v>423759.49</v>
      </c>
      <c r="H202" s="18">
        <v>174039.11</v>
      </c>
      <c r="I202" s="18">
        <v>22965.48</v>
      </c>
      <c r="J202" s="18">
        <v>841.72</v>
      </c>
      <c r="K202" s="18">
        <v>98.04</v>
      </c>
      <c r="L202" s="19">
        <f t="shared" ref="L202:L208" si="0">SUM(F202:K202)</f>
        <v>1583323.1199999999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191225.57</v>
      </c>
      <c r="G203" s="18">
        <v>110350.78</v>
      </c>
      <c r="H203" s="18">
        <v>74210.3</v>
      </c>
      <c r="I203" s="18">
        <v>70605.09</v>
      </c>
      <c r="J203" s="18">
        <v>239164.13</v>
      </c>
      <c r="K203" s="18"/>
      <c r="L203" s="19">
        <f t="shared" si="0"/>
        <v>685555.87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217130.49</v>
      </c>
      <c r="G204" s="18">
        <v>95348.64</v>
      </c>
      <c r="H204" s="18">
        <v>35240.21</v>
      </c>
      <c r="I204" s="18">
        <v>6975.16</v>
      </c>
      <c r="J204" s="18"/>
      <c r="K204" s="18">
        <v>10443.09</v>
      </c>
      <c r="L204" s="19">
        <f t="shared" si="0"/>
        <v>365137.59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805324.61</v>
      </c>
      <c r="G205" s="18">
        <v>360846.95</v>
      </c>
      <c r="H205" s="18">
        <v>41089.379999999997</v>
      </c>
      <c r="I205" s="18">
        <v>23648.560000000001</v>
      </c>
      <c r="J205" s="18">
        <v>419.94</v>
      </c>
      <c r="K205" s="18">
        <v>4478.2</v>
      </c>
      <c r="L205" s="19">
        <f t="shared" si="0"/>
        <v>1235807.6399999999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173780.5</v>
      </c>
      <c r="G206" s="18">
        <v>84872.39</v>
      </c>
      <c r="H206" s="18">
        <v>39540.03</v>
      </c>
      <c r="I206" s="18">
        <v>15660.44</v>
      </c>
      <c r="J206" s="18">
        <v>1715.67</v>
      </c>
      <c r="K206" s="18"/>
      <c r="L206" s="19">
        <f t="shared" si="0"/>
        <v>315569.03000000003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687157.41</v>
      </c>
      <c r="G207" s="18">
        <v>386102.06</v>
      </c>
      <c r="H207" s="18">
        <v>563379.67000000004</v>
      </c>
      <c r="I207" s="18">
        <v>357619.06</v>
      </c>
      <c r="J207" s="18">
        <v>16205.87</v>
      </c>
      <c r="K207" s="18"/>
      <c r="L207" s="19">
        <f t="shared" si="0"/>
        <v>2010464.0700000003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460535.47+245596.76</f>
        <v>706132.23</v>
      </c>
      <c r="I208" s="18"/>
      <c r="J208" s="18"/>
      <c r="K208" s="18"/>
      <c r="L208" s="19">
        <f t="shared" si="0"/>
        <v>706132.23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9273.3799999999992</v>
      </c>
      <c r="J209" s="18"/>
      <c r="K209" s="18"/>
      <c r="L209" s="19">
        <f>SUM(F209:K209)</f>
        <v>9273.3799999999992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9240267.5300000012</v>
      </c>
      <c r="G211" s="41">
        <f t="shared" si="1"/>
        <v>4404679.5900000008</v>
      </c>
      <c r="H211" s="41">
        <f t="shared" si="1"/>
        <v>1925719.1</v>
      </c>
      <c r="I211" s="41">
        <f t="shared" si="1"/>
        <v>765941.49</v>
      </c>
      <c r="J211" s="41">
        <f t="shared" si="1"/>
        <v>296963.87</v>
      </c>
      <c r="K211" s="41">
        <f t="shared" si="1"/>
        <v>15133.330000000002</v>
      </c>
      <c r="L211" s="41">
        <f t="shared" si="1"/>
        <v>16648704.91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2856460.27</v>
      </c>
      <c r="G215" s="18">
        <v>1496375.86</v>
      </c>
      <c r="H215" s="18">
        <v>68608.12</v>
      </c>
      <c r="I215" s="18">
        <v>224398.65</v>
      </c>
      <c r="J215" s="18">
        <v>21293.03</v>
      </c>
      <c r="K215" s="18">
        <v>765</v>
      </c>
      <c r="L215" s="19">
        <f>SUM(F215:K215)</f>
        <v>4667900.9300000006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930865.97</v>
      </c>
      <c r="G216" s="18">
        <v>430688.54</v>
      </c>
      <c r="H216" s="18">
        <v>296430.02999999997</v>
      </c>
      <c r="I216" s="18">
        <v>5883.96</v>
      </c>
      <c r="J216" s="18">
        <v>10117.16</v>
      </c>
      <c r="K216" s="18">
        <v>530</v>
      </c>
      <c r="L216" s="19">
        <f>SUM(F216:K216)</f>
        <v>1674515.66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62690.36</v>
      </c>
      <c r="G218" s="18">
        <v>12925.85</v>
      </c>
      <c r="H218" s="18">
        <v>15767.21</v>
      </c>
      <c r="I218" s="18">
        <v>4903.13</v>
      </c>
      <c r="J218" s="18">
        <v>2807.98</v>
      </c>
      <c r="K218" s="18">
        <v>1020</v>
      </c>
      <c r="L218" s="19">
        <f>SUM(F218:K218)</f>
        <v>100114.53000000001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642036</v>
      </c>
      <c r="G220" s="18">
        <v>351021.67</v>
      </c>
      <c r="H220" s="18">
        <v>110657.11</v>
      </c>
      <c r="I220" s="18">
        <v>9833.0300000000007</v>
      </c>
      <c r="J220" s="18">
        <v>3271.92</v>
      </c>
      <c r="K220" s="18">
        <v>181.92</v>
      </c>
      <c r="L220" s="19">
        <f t="shared" ref="L220:L226" si="2">SUM(F220:K220)</f>
        <v>1117001.6499999999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95088.91</v>
      </c>
      <c r="G221" s="18">
        <v>65262.400000000001</v>
      </c>
      <c r="H221" s="18">
        <v>44509.19</v>
      </c>
      <c r="I221" s="18">
        <v>41379.5</v>
      </c>
      <c r="J221" s="18">
        <v>111652.59</v>
      </c>
      <c r="K221" s="18">
        <v>187</v>
      </c>
      <c r="L221" s="19">
        <f t="shared" si="2"/>
        <v>358079.58999999997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130410.9</v>
      </c>
      <c r="G222" s="18">
        <v>56579.87</v>
      </c>
      <c r="H222" s="18">
        <v>22112.98</v>
      </c>
      <c r="I222" s="18">
        <v>4320.13</v>
      </c>
      <c r="J222" s="18"/>
      <c r="K222" s="18">
        <v>6537.28</v>
      </c>
      <c r="L222" s="19">
        <f t="shared" si="2"/>
        <v>219961.16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392419.18</v>
      </c>
      <c r="G223" s="18">
        <v>212935.6</v>
      </c>
      <c r="H223" s="18">
        <v>22143.51</v>
      </c>
      <c r="I223" s="18">
        <v>24738.3</v>
      </c>
      <c r="J223" s="18"/>
      <c r="K223" s="18">
        <v>932.5</v>
      </c>
      <c r="L223" s="19">
        <f t="shared" si="2"/>
        <v>653169.09000000008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109756.1</v>
      </c>
      <c r="G224" s="18">
        <v>53603.61</v>
      </c>
      <c r="H224" s="18">
        <v>24972.65</v>
      </c>
      <c r="I224" s="18">
        <v>9890.82</v>
      </c>
      <c r="J224" s="18">
        <v>1083.58</v>
      </c>
      <c r="K224" s="18"/>
      <c r="L224" s="19">
        <f t="shared" si="2"/>
        <v>199306.76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375904.19</v>
      </c>
      <c r="G225" s="18">
        <v>226813.52</v>
      </c>
      <c r="H225" s="18">
        <v>251676.85</v>
      </c>
      <c r="I225" s="18">
        <v>194164.57</v>
      </c>
      <c r="J225" s="18">
        <v>3496.91</v>
      </c>
      <c r="K225" s="18"/>
      <c r="L225" s="19">
        <f t="shared" si="2"/>
        <v>1052056.0399999998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288773.13+130984.94</f>
        <v>419758.07</v>
      </c>
      <c r="I226" s="18"/>
      <c r="J226" s="18"/>
      <c r="K226" s="18"/>
      <c r="L226" s="19">
        <f t="shared" si="2"/>
        <v>419758.07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>
        <v>5856.87</v>
      </c>
      <c r="J227" s="18"/>
      <c r="K227" s="18"/>
      <c r="L227" s="19">
        <f>SUM(F227:K227)</f>
        <v>5856.87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5595631.8799999999</v>
      </c>
      <c r="G229" s="41">
        <f>SUM(G215:G228)</f>
        <v>2906206.9200000004</v>
      </c>
      <c r="H229" s="41">
        <f>SUM(H215:H228)</f>
        <v>1276635.72</v>
      </c>
      <c r="I229" s="41">
        <f>SUM(I215:I228)</f>
        <v>525368.96000000008</v>
      </c>
      <c r="J229" s="41">
        <f>SUM(J215:J228)</f>
        <v>153723.16999999998</v>
      </c>
      <c r="K229" s="41">
        <f t="shared" si="3"/>
        <v>10153.700000000001</v>
      </c>
      <c r="L229" s="41">
        <f t="shared" si="3"/>
        <v>10467720.35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3732319.48</v>
      </c>
      <c r="G233" s="18">
        <v>1905835.19</v>
      </c>
      <c r="H233" s="18">
        <v>152752.58000000002</v>
      </c>
      <c r="I233" s="18">
        <v>140652.51999999999</v>
      </c>
      <c r="J233" s="18">
        <v>25787.66</v>
      </c>
      <c r="K233" s="18">
        <v>2882</v>
      </c>
      <c r="L233" s="19">
        <f>SUM(F233:K233)</f>
        <v>5960229.4299999997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1147971.03</v>
      </c>
      <c r="G234" s="18">
        <v>430384.64000000001</v>
      </c>
      <c r="H234" s="18">
        <v>1251761.7</v>
      </c>
      <c r="I234" s="18">
        <v>6314.31</v>
      </c>
      <c r="J234" s="18">
        <v>7537.85</v>
      </c>
      <c r="K234" s="18"/>
      <c r="L234" s="19">
        <f>SUM(F234:K234)</f>
        <v>2843969.5300000003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962380.13</v>
      </c>
      <c r="G235" s="18">
        <v>528291.91</v>
      </c>
      <c r="H235" s="18">
        <v>73689</v>
      </c>
      <c r="I235" s="18">
        <v>98169.26</v>
      </c>
      <c r="J235" s="18">
        <v>12851.46</v>
      </c>
      <c r="K235" s="18">
        <v>1646</v>
      </c>
      <c r="L235" s="19">
        <f>SUM(F235:K235)</f>
        <v>1677027.76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221296.93</v>
      </c>
      <c r="G236" s="18">
        <v>39122.42</v>
      </c>
      <c r="H236" s="18">
        <v>166620.49</v>
      </c>
      <c r="I236" s="18">
        <v>37858.06</v>
      </c>
      <c r="J236" s="18">
        <v>13526</v>
      </c>
      <c r="K236" s="18">
        <v>14371</v>
      </c>
      <c r="L236" s="19">
        <f>SUM(F236:K236)</f>
        <v>492794.89999999997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802122.44</v>
      </c>
      <c r="G238" s="18">
        <v>454080.15</v>
      </c>
      <c r="H238" s="18">
        <v>176648.08</v>
      </c>
      <c r="I238" s="18">
        <v>14902.02</v>
      </c>
      <c r="J238" s="18">
        <v>2841.56</v>
      </c>
      <c r="K238" s="18">
        <v>1205.04</v>
      </c>
      <c r="L238" s="19">
        <f t="shared" ref="L238:L244" si="4">SUM(F238:K238)</f>
        <v>1451799.29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192409.68</v>
      </c>
      <c r="G239" s="18">
        <v>141468.13</v>
      </c>
      <c r="H239" s="18">
        <v>82793.27</v>
      </c>
      <c r="I239" s="18">
        <v>49124.85</v>
      </c>
      <c r="J239" s="18">
        <v>152625.78</v>
      </c>
      <c r="K239" s="18">
        <v>187</v>
      </c>
      <c r="L239" s="19">
        <f t="shared" si="4"/>
        <v>618608.71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195837.37</v>
      </c>
      <c r="G240" s="18">
        <v>83820.929999999993</v>
      </c>
      <c r="H240" s="18">
        <v>34784.230000000003</v>
      </c>
      <c r="I240" s="18">
        <v>6705.27</v>
      </c>
      <c r="J240" s="18"/>
      <c r="K240" s="18">
        <v>10258.290000000001</v>
      </c>
      <c r="L240" s="19">
        <f t="shared" si="4"/>
        <v>331406.08999999997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585511.38</v>
      </c>
      <c r="G241" s="18">
        <v>293121.21999999997</v>
      </c>
      <c r="H241" s="18">
        <v>56177.73</v>
      </c>
      <c r="I241" s="18">
        <v>24607.38</v>
      </c>
      <c r="J241" s="18">
        <v>1037.98</v>
      </c>
      <c r="K241" s="18">
        <v>5072</v>
      </c>
      <c r="L241" s="19">
        <f t="shared" si="4"/>
        <v>965527.69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173780.5</v>
      </c>
      <c r="G242" s="18">
        <v>84872.39</v>
      </c>
      <c r="H242" s="18">
        <v>39540.03</v>
      </c>
      <c r="I242" s="18">
        <v>15660.44</v>
      </c>
      <c r="J242" s="18">
        <v>1715.66</v>
      </c>
      <c r="K242" s="18"/>
      <c r="L242" s="19">
        <f t="shared" si="4"/>
        <v>315569.02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502225.84</v>
      </c>
      <c r="G243" s="18">
        <v>267602.8</v>
      </c>
      <c r="H243" s="18">
        <f>467533.97+10466.04</f>
        <v>478000.00999999995</v>
      </c>
      <c r="I243" s="18">
        <v>351917.96</v>
      </c>
      <c r="J243" s="18">
        <v>5144.6899999999996</v>
      </c>
      <c r="K243" s="18"/>
      <c r="L243" s="19">
        <f t="shared" si="4"/>
        <v>1604891.2999999998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460704.83+169188.88</f>
        <v>629893.71</v>
      </c>
      <c r="I244" s="18"/>
      <c r="J244" s="18"/>
      <c r="K244" s="18"/>
      <c r="L244" s="19">
        <f t="shared" si="4"/>
        <v>629893.71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>
        <v>9273.3799999999992</v>
      </c>
      <c r="J245" s="18"/>
      <c r="K245" s="18"/>
      <c r="L245" s="19">
        <f>SUM(F245:K245)</f>
        <v>9273.3799999999992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8515854.7799999993</v>
      </c>
      <c r="G247" s="41">
        <f t="shared" si="5"/>
        <v>4228599.78</v>
      </c>
      <c r="H247" s="41">
        <f t="shared" si="5"/>
        <v>3142660.83</v>
      </c>
      <c r="I247" s="41">
        <f t="shared" si="5"/>
        <v>755185.45000000007</v>
      </c>
      <c r="J247" s="41">
        <f t="shared" si="5"/>
        <v>223068.64</v>
      </c>
      <c r="K247" s="41">
        <f t="shared" si="5"/>
        <v>35621.33</v>
      </c>
      <c r="L247" s="41">
        <f t="shared" si="5"/>
        <v>16900990.809999999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23351754.189999998</v>
      </c>
      <c r="G257" s="41">
        <f t="shared" si="8"/>
        <v>11539486.290000003</v>
      </c>
      <c r="H257" s="41">
        <f t="shared" si="8"/>
        <v>6345015.6500000004</v>
      </c>
      <c r="I257" s="41">
        <f t="shared" si="8"/>
        <v>2046495.9000000004</v>
      </c>
      <c r="J257" s="41">
        <f t="shared" si="8"/>
        <v>673755.67999999993</v>
      </c>
      <c r="K257" s="41">
        <f t="shared" si="8"/>
        <v>60908.36</v>
      </c>
      <c r="L257" s="41">
        <f t="shared" si="8"/>
        <v>44017416.069999993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1082852.74</v>
      </c>
      <c r="L260" s="19">
        <f>SUM(F260:K260)</f>
        <v>1082852.74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170974.79</v>
      </c>
      <c r="L261" s="19">
        <f>SUM(F261:K261)</f>
        <v>170974.79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69565.429999999993</v>
      </c>
      <c r="L268" s="19">
        <f t="shared" si="9"/>
        <v>69565.429999999993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1523392.96</v>
      </c>
      <c r="L270" s="41">
        <f t="shared" si="9"/>
        <v>1523392.96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23351754.189999998</v>
      </c>
      <c r="G271" s="42">
        <f t="shared" si="11"/>
        <v>11539486.290000003</v>
      </c>
      <c r="H271" s="42">
        <f t="shared" si="11"/>
        <v>6345015.6500000004</v>
      </c>
      <c r="I271" s="42">
        <f t="shared" si="11"/>
        <v>2046495.9000000004</v>
      </c>
      <c r="J271" s="42">
        <f t="shared" si="11"/>
        <v>673755.67999999993</v>
      </c>
      <c r="K271" s="42">
        <f t="shared" si="11"/>
        <v>1584301.32</v>
      </c>
      <c r="L271" s="42">
        <f t="shared" si="11"/>
        <v>45540809.029999994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322218.83</v>
      </c>
      <c r="G276" s="18">
        <v>24991.98</v>
      </c>
      <c r="H276" s="18">
        <v>4290</v>
      </c>
      <c r="I276" s="18">
        <v>3198.08</v>
      </c>
      <c r="J276" s="18">
        <v>1584.68</v>
      </c>
      <c r="K276" s="18">
        <v>8823.9599999999991</v>
      </c>
      <c r="L276" s="19">
        <f>SUM(F276:K276)</f>
        <v>365107.53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304754.2</v>
      </c>
      <c r="G277" s="18">
        <v>124355.37</v>
      </c>
      <c r="H277" s="18">
        <v>5842.17</v>
      </c>
      <c r="I277" s="18">
        <v>1172.74</v>
      </c>
      <c r="J277" s="18">
        <v>5254.15</v>
      </c>
      <c r="K277" s="18">
        <v>6831.62</v>
      </c>
      <c r="L277" s="19">
        <f>SUM(F277:K277)</f>
        <v>448210.25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7298.02</v>
      </c>
      <c r="G281" s="18">
        <v>1233.7</v>
      </c>
      <c r="H281" s="18">
        <v>6703.2</v>
      </c>
      <c r="I281" s="18">
        <v>173.95</v>
      </c>
      <c r="J281" s="18">
        <v>321.86</v>
      </c>
      <c r="K281" s="18">
        <v>412.6</v>
      </c>
      <c r="L281" s="19">
        <f t="shared" ref="L281:L287" si="12">SUM(F281:K281)</f>
        <v>16143.330000000004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19956.75</v>
      </c>
      <c r="G282" s="18">
        <v>1547.01</v>
      </c>
      <c r="H282" s="18"/>
      <c r="I282" s="18">
        <v>66.56</v>
      </c>
      <c r="J282" s="18"/>
      <c r="K282" s="18"/>
      <c r="L282" s="19">
        <f t="shared" si="12"/>
        <v>21570.32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>
        <v>120</v>
      </c>
      <c r="J286" s="18"/>
      <c r="K286" s="18"/>
      <c r="L286" s="19">
        <f t="shared" si="12"/>
        <v>120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654227.80000000005</v>
      </c>
      <c r="G290" s="42">
        <f t="shared" si="13"/>
        <v>152128.06000000003</v>
      </c>
      <c r="H290" s="42">
        <f t="shared" si="13"/>
        <v>16835.37</v>
      </c>
      <c r="I290" s="42">
        <f t="shared" si="13"/>
        <v>4731.33</v>
      </c>
      <c r="J290" s="42">
        <f t="shared" si="13"/>
        <v>7160.69</v>
      </c>
      <c r="K290" s="42">
        <f t="shared" si="13"/>
        <v>16068.179999999998</v>
      </c>
      <c r="L290" s="41">
        <f t="shared" si="13"/>
        <v>851151.42999999993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7302.62</v>
      </c>
      <c r="G295" s="18">
        <v>558.66</v>
      </c>
      <c r="H295" s="18"/>
      <c r="I295" s="18">
        <v>517.23</v>
      </c>
      <c r="J295" s="18">
        <v>454.8</v>
      </c>
      <c r="K295" s="18">
        <v>588.73</v>
      </c>
      <c r="L295" s="19">
        <f>SUM(F295:K295)</f>
        <v>9422.0399999999991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23118.560000000001</v>
      </c>
      <c r="G296" s="18">
        <v>9820.14</v>
      </c>
      <c r="H296" s="18">
        <v>2059.8200000000002</v>
      </c>
      <c r="I296" s="18"/>
      <c r="J296" s="18">
        <v>1268.71</v>
      </c>
      <c r="K296" s="18">
        <v>3643.53</v>
      </c>
      <c r="L296" s="19">
        <f>SUM(F296:K296)</f>
        <v>39910.759999999995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4609.28</v>
      </c>
      <c r="G300" s="18">
        <v>779.18</v>
      </c>
      <c r="H300" s="18">
        <v>4233.6000000000004</v>
      </c>
      <c r="I300" s="18">
        <v>109.86</v>
      </c>
      <c r="J300" s="18">
        <v>203.28</v>
      </c>
      <c r="K300" s="18">
        <v>150.72</v>
      </c>
      <c r="L300" s="19">
        <f t="shared" ref="L300:L306" si="14">SUM(F300:K300)</f>
        <v>10085.920000000002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12699.75</v>
      </c>
      <c r="G301" s="18">
        <v>984.46</v>
      </c>
      <c r="H301" s="18"/>
      <c r="I301" s="18">
        <v>42.36</v>
      </c>
      <c r="J301" s="18"/>
      <c r="K301" s="18"/>
      <c r="L301" s="19">
        <f t="shared" si="14"/>
        <v>13726.57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>
        <v>75</v>
      </c>
      <c r="J305" s="18"/>
      <c r="K305" s="18"/>
      <c r="L305" s="19">
        <f t="shared" si="14"/>
        <v>75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47730.21</v>
      </c>
      <c r="G309" s="42">
        <f t="shared" si="15"/>
        <v>12142.439999999999</v>
      </c>
      <c r="H309" s="42">
        <f t="shared" si="15"/>
        <v>6293.42</v>
      </c>
      <c r="I309" s="42">
        <f t="shared" si="15"/>
        <v>744.45</v>
      </c>
      <c r="J309" s="42">
        <f t="shared" si="15"/>
        <v>1926.79</v>
      </c>
      <c r="K309" s="42">
        <f t="shared" si="15"/>
        <v>4382.9800000000005</v>
      </c>
      <c r="L309" s="41">
        <f t="shared" si="15"/>
        <v>73220.290000000008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70651.48</v>
      </c>
      <c r="G314" s="18">
        <v>38011.279999999999</v>
      </c>
      <c r="H314" s="18"/>
      <c r="I314" s="18">
        <v>818.95</v>
      </c>
      <c r="J314" s="18">
        <v>720.1</v>
      </c>
      <c r="K314" s="18">
        <v>3556.63</v>
      </c>
      <c r="L314" s="19">
        <f>SUM(F314:K314)</f>
        <v>113758.44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197629.61</v>
      </c>
      <c r="G315" s="18">
        <v>50737.31</v>
      </c>
      <c r="H315" s="18">
        <v>2990.61</v>
      </c>
      <c r="I315" s="18"/>
      <c r="J315" s="18">
        <v>410.38</v>
      </c>
      <c r="K315" s="18">
        <v>4706.2299999999996</v>
      </c>
      <c r="L315" s="19">
        <f>SUM(F315:K315)</f>
        <v>256474.13999999998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43942.5+20555.5</f>
        <v>64498</v>
      </c>
      <c r="G316" s="18">
        <f>10749.44+1773.24</f>
        <v>12522.68</v>
      </c>
      <c r="H316" s="18">
        <f>20328.17+16127.69</f>
        <v>36455.86</v>
      </c>
      <c r="I316" s="18">
        <f>7240.04+103558.78</f>
        <v>110798.81999999999</v>
      </c>
      <c r="J316" s="18">
        <f>20344.79+25535.1</f>
        <v>45879.89</v>
      </c>
      <c r="K316" s="18">
        <f>2587.04+2000</f>
        <v>4587.04</v>
      </c>
      <c r="L316" s="19">
        <f>SUM(F316:K316)</f>
        <v>274742.28999999998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7298.02</v>
      </c>
      <c r="G319" s="18">
        <v>1233.7</v>
      </c>
      <c r="H319" s="18">
        <v>6703.2</v>
      </c>
      <c r="I319" s="18">
        <v>173.95</v>
      </c>
      <c r="J319" s="18">
        <v>321.89</v>
      </c>
      <c r="K319" s="18">
        <v>238.64</v>
      </c>
      <c r="L319" s="19">
        <f t="shared" ref="L319:L325" si="16">SUM(F319:K319)</f>
        <v>15969.400000000001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27818.5</v>
      </c>
      <c r="G320" s="18">
        <v>5276.44</v>
      </c>
      <c r="H320" s="18">
        <v>3832.85</v>
      </c>
      <c r="I320" s="18">
        <v>92.79</v>
      </c>
      <c r="J320" s="18"/>
      <c r="K320" s="18">
        <v>3458.37</v>
      </c>
      <c r="L320" s="19">
        <f t="shared" si="16"/>
        <v>40478.950000000004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>
        <v>105</v>
      </c>
      <c r="J324" s="18"/>
      <c r="K324" s="18"/>
      <c r="L324" s="19">
        <f t="shared" si="16"/>
        <v>105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367895.61</v>
      </c>
      <c r="G328" s="42">
        <f t="shared" si="17"/>
        <v>107781.40999999999</v>
      </c>
      <c r="H328" s="42">
        <f t="shared" si="17"/>
        <v>49982.52</v>
      </c>
      <c r="I328" s="42">
        <f t="shared" si="17"/>
        <v>111989.50999999998</v>
      </c>
      <c r="J328" s="42">
        <f t="shared" si="17"/>
        <v>47332.26</v>
      </c>
      <c r="K328" s="42">
        <f t="shared" si="17"/>
        <v>16546.91</v>
      </c>
      <c r="L328" s="41">
        <f t="shared" si="17"/>
        <v>701528.21999999986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19250.96</v>
      </c>
      <c r="G333" s="18">
        <v>3810.48</v>
      </c>
      <c r="H333" s="18">
        <f>32230+5606.76</f>
        <v>37836.76</v>
      </c>
      <c r="I333" s="18">
        <v>6558</v>
      </c>
      <c r="J333" s="18"/>
      <c r="K333" s="18">
        <v>1124.03</v>
      </c>
      <c r="L333" s="19">
        <f t="shared" si="18"/>
        <v>68580.23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19250.96</v>
      </c>
      <c r="G337" s="41">
        <f t="shared" si="19"/>
        <v>3810.48</v>
      </c>
      <c r="H337" s="41">
        <f t="shared" si="19"/>
        <v>37836.76</v>
      </c>
      <c r="I337" s="41">
        <f t="shared" si="19"/>
        <v>6558</v>
      </c>
      <c r="J337" s="41">
        <f t="shared" si="19"/>
        <v>0</v>
      </c>
      <c r="K337" s="41">
        <f t="shared" si="19"/>
        <v>1124.03</v>
      </c>
      <c r="L337" s="41">
        <f t="shared" si="18"/>
        <v>68580.23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1089104.58</v>
      </c>
      <c r="G338" s="41">
        <f t="shared" si="20"/>
        <v>275862.39</v>
      </c>
      <c r="H338" s="41">
        <f t="shared" si="20"/>
        <v>110948.07</v>
      </c>
      <c r="I338" s="41">
        <f t="shared" si="20"/>
        <v>124023.28999999998</v>
      </c>
      <c r="J338" s="41">
        <f t="shared" si="20"/>
        <v>56419.740000000005</v>
      </c>
      <c r="K338" s="41">
        <f t="shared" si="20"/>
        <v>38122.1</v>
      </c>
      <c r="L338" s="41">
        <f t="shared" si="20"/>
        <v>1694480.17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1089104.58</v>
      </c>
      <c r="G352" s="41">
        <f>G338</f>
        <v>275862.39</v>
      </c>
      <c r="H352" s="41">
        <f>H338</f>
        <v>110948.07</v>
      </c>
      <c r="I352" s="41">
        <f>I338</f>
        <v>124023.28999999998</v>
      </c>
      <c r="J352" s="41">
        <f>J338</f>
        <v>56419.740000000005</v>
      </c>
      <c r="K352" s="47">
        <f>K338+K351</f>
        <v>38122.1</v>
      </c>
      <c r="L352" s="41">
        <f>L338+L351</f>
        <v>1694480.17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41952.55+158249.52</f>
        <v>200202.07</v>
      </c>
      <c r="G358" s="18">
        <f>23340.35+102428.07</f>
        <v>125768.42000000001</v>
      </c>
      <c r="H358" s="18">
        <f>1944.68+1757.6</f>
        <v>3702.2799999999997</v>
      </c>
      <c r="I358" s="18">
        <f>10369.68+43.21+8803.85+156548.71</f>
        <v>175765.44999999998</v>
      </c>
      <c r="J358" s="18">
        <f>525.92+13769.75</f>
        <v>14295.67</v>
      </c>
      <c r="K358" s="18">
        <f>469.66+1166</f>
        <v>1635.66</v>
      </c>
      <c r="L358" s="13">
        <f>SUM(F358:K358)</f>
        <v>521369.54999999993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26496.35+84499.22</f>
        <v>110995.57</v>
      </c>
      <c r="G359" s="18">
        <f>14741.27+61148.08</f>
        <v>75889.350000000006</v>
      </c>
      <c r="H359" s="18">
        <f>1228.22+5026.18</f>
        <v>6254.4000000000005</v>
      </c>
      <c r="I359" s="18">
        <f>6549.27+27.29+119248.75+8435.35</f>
        <v>134260.66</v>
      </c>
      <c r="J359" s="18">
        <f>332.16+81623.9</f>
        <v>81956.06</v>
      </c>
      <c r="K359" s="18">
        <f>296.63+473</f>
        <v>769.63</v>
      </c>
      <c r="L359" s="19">
        <f>SUM(F359:K359)</f>
        <v>410125.67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41952.55+90021.06</f>
        <v>131973.60999999999</v>
      </c>
      <c r="G360" s="18">
        <f>23340.35+36177.19</f>
        <v>59517.54</v>
      </c>
      <c r="H360" s="18">
        <f>1944.68+2251.34</f>
        <v>4196.0200000000004</v>
      </c>
      <c r="I360" s="18">
        <f>10369.68+43.21+156149.58+10236.88</f>
        <v>176799.34999999998</v>
      </c>
      <c r="J360" s="18">
        <f>525.95+45544.7</f>
        <v>46070.649999999994</v>
      </c>
      <c r="K360" s="18">
        <f>469.66+559.46</f>
        <v>1029.1200000000001</v>
      </c>
      <c r="L360" s="19">
        <f>SUM(F360:K360)</f>
        <v>419586.28999999992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443171.25</v>
      </c>
      <c r="G362" s="47">
        <f t="shared" si="22"/>
        <v>261175.31000000003</v>
      </c>
      <c r="H362" s="47">
        <f t="shared" si="22"/>
        <v>14152.7</v>
      </c>
      <c r="I362" s="47">
        <f t="shared" si="22"/>
        <v>486825.45999999996</v>
      </c>
      <c r="J362" s="47">
        <f t="shared" si="22"/>
        <v>142322.38</v>
      </c>
      <c r="K362" s="47">
        <f t="shared" si="22"/>
        <v>3434.41</v>
      </c>
      <c r="L362" s="47">
        <f t="shared" si="22"/>
        <v>1351081.5099999998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43.21+156548.71</f>
        <v>156591.91999999998</v>
      </c>
      <c r="G367" s="18">
        <f>27.29+119248.75</f>
        <v>119276.04</v>
      </c>
      <c r="H367" s="18">
        <f>43.21+156149.58</f>
        <v>156192.78999999998</v>
      </c>
      <c r="I367" s="56">
        <f>SUM(F367:H367)</f>
        <v>432060.74999999994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10369.68+8803.85</f>
        <v>19173.53</v>
      </c>
      <c r="G368" s="63">
        <f>6549.27+8435.35</f>
        <v>14984.62</v>
      </c>
      <c r="H368" s="63">
        <f>10369.68+10236.88</f>
        <v>20606.559999999998</v>
      </c>
      <c r="I368" s="56">
        <f>SUM(F368:H368)</f>
        <v>54764.71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175765.44999999998</v>
      </c>
      <c r="G369" s="47">
        <f>SUM(G367:G368)</f>
        <v>134260.66</v>
      </c>
      <c r="H369" s="47">
        <f>SUM(H367:H368)</f>
        <v>176799.34999999998</v>
      </c>
      <c r="I369" s="47">
        <f>SUM(I367:I368)</f>
        <v>486825.45999999996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100000</v>
      </c>
      <c r="H389" s="18">
        <v>3799.48</v>
      </c>
      <c r="I389" s="18"/>
      <c r="J389" s="24" t="s">
        <v>289</v>
      </c>
      <c r="K389" s="24" t="s">
        <v>289</v>
      </c>
      <c r="L389" s="56">
        <f t="shared" si="25"/>
        <v>103799.48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>
        <v>258869.02</v>
      </c>
      <c r="J392" s="24" t="s">
        <v>289</v>
      </c>
      <c r="K392" s="24" t="s">
        <v>289</v>
      </c>
      <c r="L392" s="56">
        <f t="shared" si="25"/>
        <v>258869.02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3799.48</v>
      </c>
      <c r="I393" s="65">
        <f>SUM(I387:I392)</f>
        <v>258869.02</v>
      </c>
      <c r="J393" s="45" t="s">
        <v>289</v>
      </c>
      <c r="K393" s="45" t="s">
        <v>289</v>
      </c>
      <c r="L393" s="47">
        <f>SUM(L387:L392)</f>
        <v>362668.5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0.01</v>
      </c>
      <c r="I395" s="18"/>
      <c r="J395" s="24" t="s">
        <v>289</v>
      </c>
      <c r="K395" s="24" t="s">
        <v>289</v>
      </c>
      <c r="L395" s="56">
        <f t="shared" ref="L395:L400" si="26">SUM(F395:K395)</f>
        <v>0.01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>
        <v>4378.82</v>
      </c>
      <c r="I397" s="18"/>
      <c r="J397" s="24" t="s">
        <v>289</v>
      </c>
      <c r="K397" s="24" t="s">
        <v>289</v>
      </c>
      <c r="L397" s="56">
        <f t="shared" si="26"/>
        <v>104378.82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16.76+2008.87</f>
        <v>2025.6299999999999</v>
      </c>
      <c r="I400" s="18"/>
      <c r="J400" s="24" t="s">
        <v>289</v>
      </c>
      <c r="K400" s="24" t="s">
        <v>289</v>
      </c>
      <c r="L400" s="56">
        <f t="shared" si="26"/>
        <v>2025.6299999999999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6404.46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106404.46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19.59</v>
      </c>
      <c r="I403" s="18"/>
      <c r="J403" s="24" t="s">
        <v>289</v>
      </c>
      <c r="K403" s="24" t="s">
        <v>289</v>
      </c>
      <c r="L403" s="56">
        <f>SUM(F403:K403)</f>
        <v>19.59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19.59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19.59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10223.530000000001</v>
      </c>
      <c r="I408" s="47">
        <f>I393+I401+I407</f>
        <v>258869.02</v>
      </c>
      <c r="J408" s="24" t="s">
        <v>289</v>
      </c>
      <c r="K408" s="24" t="s">
        <v>289</v>
      </c>
      <c r="L408" s="47">
        <f>L393+L401+L407</f>
        <v>469092.55000000005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15500+81000+20000+14639.36</f>
        <v>131139.35999999999</v>
      </c>
      <c r="I426" s="18">
        <v>3000</v>
      </c>
      <c r="J426" s="18">
        <f>7947.38+9098.5+9098.5+34960.3+5000+1542+45146.71</f>
        <v>112793.39000000001</v>
      </c>
      <c r="K426" s="18">
        <f>3753.7+5911.73</f>
        <v>9665.43</v>
      </c>
      <c r="L426" s="56">
        <f t="shared" si="29"/>
        <v>256598.18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131139.35999999999</v>
      </c>
      <c r="I427" s="47">
        <f t="shared" si="30"/>
        <v>3000</v>
      </c>
      <c r="J427" s="47">
        <f t="shared" si="30"/>
        <v>112793.39000000001</v>
      </c>
      <c r="K427" s="47">
        <f t="shared" si="30"/>
        <v>9665.43</v>
      </c>
      <c r="L427" s="47">
        <f t="shared" si="30"/>
        <v>256598.18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131139.35999999999</v>
      </c>
      <c r="I434" s="47">
        <f t="shared" si="32"/>
        <v>3000</v>
      </c>
      <c r="J434" s="47">
        <f t="shared" si="32"/>
        <v>112793.39000000001</v>
      </c>
      <c r="K434" s="47">
        <f t="shared" si="32"/>
        <v>9665.43</v>
      </c>
      <c r="L434" s="47">
        <f t="shared" si="32"/>
        <v>256598.18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250875.5</v>
      </c>
      <c r="G439" s="18">
        <f>116354.03+970.13+1.14-6115.95+284059.37</f>
        <v>395268.72</v>
      </c>
      <c r="H439" s="18">
        <v>818.46</v>
      </c>
      <c r="I439" s="56">
        <f t="shared" ref="I439:I445" si="33">SUM(F439:H439)</f>
        <v>646962.67999999993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5281.72</v>
      </c>
      <c r="H441" s="18"/>
      <c r="I441" s="56">
        <f t="shared" si="33"/>
        <v>5281.72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250875.5</v>
      </c>
      <c r="G446" s="13">
        <f>SUM(G439:G445)</f>
        <v>400550.43999999994</v>
      </c>
      <c r="H446" s="13">
        <f>SUM(H439:H445)</f>
        <v>818.46</v>
      </c>
      <c r="I446" s="13">
        <f>SUM(I439:I445)</f>
        <v>652244.39999999991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250875.5</v>
      </c>
      <c r="G459" s="18">
        <f>116354.03+970.13+1.14+284059.37-834.23</f>
        <v>400550.44</v>
      </c>
      <c r="H459" s="18">
        <v>818.46</v>
      </c>
      <c r="I459" s="56">
        <f t="shared" si="34"/>
        <v>652244.39999999991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250875.5</v>
      </c>
      <c r="G460" s="83">
        <f>SUM(G454:G459)</f>
        <v>400550.44</v>
      </c>
      <c r="H460" s="83">
        <f>SUM(H454:H459)</f>
        <v>818.46</v>
      </c>
      <c r="I460" s="83">
        <f>SUM(I454:I459)</f>
        <v>652244.39999999991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250875.5</v>
      </c>
      <c r="G461" s="42">
        <f>G452+G460</f>
        <v>400550.44</v>
      </c>
      <c r="H461" s="42">
        <f>H452+H460</f>
        <v>818.46</v>
      </c>
      <c r="I461" s="42">
        <f>I452+I460</f>
        <v>652244.39999999991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994703.68</v>
      </c>
      <c r="G465" s="18">
        <v>264268.65000000002</v>
      </c>
      <c r="H465" s="18">
        <f>295393.11</f>
        <v>295393.11</v>
      </c>
      <c r="I465" s="18"/>
      <c r="J465" s="18">
        <f>445170.51-5420.48</f>
        <v>439750.03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45926867.630000003</v>
      </c>
      <c r="G468" s="18">
        <f>1184954.76-60.13</f>
        <v>1184894.6300000001</v>
      </c>
      <c r="H468" s="18">
        <f>1519323.1+200328.35</f>
        <v>1719651.4500000002</v>
      </c>
      <c r="I468" s="18"/>
      <c r="J468" s="18">
        <f>200000+258869.02+10223.53</f>
        <v>469092.55000000005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45926867.630000003</v>
      </c>
      <c r="G470" s="53">
        <f>SUM(G468:G469)</f>
        <v>1184894.6300000001</v>
      </c>
      <c r="H470" s="53">
        <f>SUM(H468:H469)</f>
        <v>1719651.4500000002</v>
      </c>
      <c r="I470" s="53">
        <f>SUM(I468:I469)</f>
        <v>0</v>
      </c>
      <c r="J470" s="53">
        <f>SUM(J468:J469)</f>
        <v>469092.55000000005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45540809.030000001</v>
      </c>
      <c r="G472" s="18">
        <v>1351081.51</v>
      </c>
      <c r="H472" s="18">
        <f>1519323.1+175157.07</f>
        <v>1694480.1700000002</v>
      </c>
      <c r="I472" s="18"/>
      <c r="J472" s="18">
        <v>256598.18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45540809.030000001</v>
      </c>
      <c r="G474" s="53">
        <f>SUM(G472:G473)</f>
        <v>1351081.51</v>
      </c>
      <c r="H474" s="53">
        <f>SUM(H472:H473)</f>
        <v>1694480.1700000002</v>
      </c>
      <c r="I474" s="53">
        <f>SUM(I472:I473)</f>
        <v>0</v>
      </c>
      <c r="J474" s="53">
        <f>SUM(J472:J473)</f>
        <v>256598.18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1380762.2800000012</v>
      </c>
      <c r="G476" s="53">
        <f>(G465+G470)- G474</f>
        <v>98081.770000000251</v>
      </c>
      <c r="H476" s="53">
        <f>(H465+H470)- H474</f>
        <v>320564.3899999999</v>
      </c>
      <c r="I476" s="53">
        <f>(I465+I470)- I474</f>
        <v>0</v>
      </c>
      <c r="J476" s="53">
        <f>(J465+J470)- J474</f>
        <v>652244.40000000014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12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8220000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4590000</v>
      </c>
      <c r="G495" s="18"/>
      <c r="H495" s="18"/>
      <c r="I495" s="18"/>
      <c r="J495" s="18"/>
      <c r="K495" s="53">
        <f>SUM(F495:J495)</f>
        <v>4590000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820000</v>
      </c>
      <c r="G497" s="18"/>
      <c r="H497" s="18"/>
      <c r="I497" s="18"/>
      <c r="J497" s="18"/>
      <c r="K497" s="53">
        <f t="shared" si="35"/>
        <v>820000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3770000</v>
      </c>
      <c r="G498" s="204"/>
      <c r="H498" s="204"/>
      <c r="I498" s="204"/>
      <c r="J498" s="204"/>
      <c r="K498" s="205">
        <f t="shared" si="35"/>
        <v>3770000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341953.15</v>
      </c>
      <c r="G499" s="18"/>
      <c r="H499" s="18"/>
      <c r="I499" s="18"/>
      <c r="J499" s="18"/>
      <c r="K499" s="53">
        <f t="shared" si="35"/>
        <v>341953.15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4111953.15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4111953.15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795000</v>
      </c>
      <c r="G501" s="204"/>
      <c r="H501" s="204"/>
      <c r="I501" s="204"/>
      <c r="J501" s="204"/>
      <c r="K501" s="205">
        <f t="shared" si="35"/>
        <v>795000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115750.01</v>
      </c>
      <c r="G502" s="18"/>
      <c r="H502" s="18"/>
      <c r="I502" s="18"/>
      <c r="J502" s="18"/>
      <c r="K502" s="53">
        <f t="shared" si="35"/>
        <v>115750.01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910750.01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910750.01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1936025.9</v>
      </c>
      <c r="G507" s="144">
        <v>1847295.34</v>
      </c>
      <c r="H507" s="144">
        <v>-1936025.9</v>
      </c>
      <c r="I507" s="144">
        <f>F507+G507+H507</f>
        <v>1847295.3400000003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2419858.4300000002</v>
      </c>
      <c r="G521" s="18">
        <v>869951.7</v>
      </c>
      <c r="H521" s="18">
        <v>219776.55999999994</v>
      </c>
      <c r="I521" s="18">
        <v>24556.07</v>
      </c>
      <c r="J521" s="18">
        <v>30019.63</v>
      </c>
      <c r="K521" s="18">
        <v>6831.62</v>
      </c>
      <c r="L521" s="88">
        <f>SUM(F521:K521)</f>
        <v>3570994.01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953984.53</v>
      </c>
      <c r="G522" s="18">
        <v>440508.68</v>
      </c>
      <c r="H522" s="18">
        <v>317814.24</v>
      </c>
      <c r="I522" s="18">
        <v>5883.96</v>
      </c>
      <c r="J522" s="18">
        <v>11385.88</v>
      </c>
      <c r="K522" s="18">
        <v>4173.53</v>
      </c>
      <c r="L522" s="88">
        <f>SUM(F522:K522)</f>
        <v>1733750.8199999998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1345600.64</v>
      </c>
      <c r="G523" s="18">
        <v>481121.95</v>
      </c>
      <c r="H523" s="18">
        <v>1265680.0300000003</v>
      </c>
      <c r="I523" s="18">
        <v>6314.31</v>
      </c>
      <c r="J523" s="18">
        <v>7948.23</v>
      </c>
      <c r="K523" s="18">
        <v>4706.2299999999996</v>
      </c>
      <c r="L523" s="88">
        <f>SUM(F523:K523)</f>
        <v>3111371.39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4719443.5999999996</v>
      </c>
      <c r="G524" s="108">
        <f t="shared" ref="G524:L524" si="36">SUM(G521:G523)</f>
        <v>1791582.3299999998</v>
      </c>
      <c r="H524" s="108">
        <f t="shared" si="36"/>
        <v>1803270.83</v>
      </c>
      <c r="I524" s="108">
        <f t="shared" si="36"/>
        <v>36754.339999999997</v>
      </c>
      <c r="J524" s="108">
        <f t="shared" si="36"/>
        <v>49353.740000000005</v>
      </c>
      <c r="K524" s="108">
        <f t="shared" si="36"/>
        <v>15711.38</v>
      </c>
      <c r="L524" s="89">
        <f t="shared" si="36"/>
        <v>8416116.2200000007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402763.55+15919.74</f>
        <v>418683.29</v>
      </c>
      <c r="G526" s="18">
        <f>213884.42+2947.92</f>
        <v>216832.34000000003</v>
      </c>
      <c r="H526" s="18">
        <f>213740.5</f>
        <v>213740.5</v>
      </c>
      <c r="I526" s="18">
        <f>7536.05+7329.58</f>
        <v>14865.630000000001</v>
      </c>
      <c r="J526" s="18">
        <v>343.01</v>
      </c>
      <c r="K526" s="18">
        <v>116.1</v>
      </c>
      <c r="L526" s="88">
        <f>SUM(F526:K526)</f>
        <v>864580.87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214807.23+89035.12</f>
        <v>303842.34999999998</v>
      </c>
      <c r="G527" s="18">
        <f>114071.69+64824.73</f>
        <v>178896.42</v>
      </c>
      <c r="H527" s="18">
        <v>113994.93</v>
      </c>
      <c r="I527" s="18">
        <f>4019.23+2202</f>
        <v>6221.23</v>
      </c>
      <c r="J527" s="18">
        <v>182.94</v>
      </c>
      <c r="K527" s="18">
        <v>61.92</v>
      </c>
      <c r="L527" s="88">
        <f>SUM(F527:K527)</f>
        <v>603199.78999999992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277459.33+46371.06</f>
        <v>323830.39</v>
      </c>
      <c r="G528" s="18">
        <f>147342.6+24802.13</f>
        <v>172144.73</v>
      </c>
      <c r="H528" s="18">
        <v>147243.46</v>
      </c>
      <c r="I528" s="18">
        <f>5191.5+198.34</f>
        <v>5389.84</v>
      </c>
      <c r="J528" s="18">
        <v>236.29</v>
      </c>
      <c r="K528" s="18">
        <v>79.98</v>
      </c>
      <c r="L528" s="88">
        <f>SUM(F528:K528)</f>
        <v>648924.68999999994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1046356.0299999999</v>
      </c>
      <c r="G529" s="89">
        <f t="shared" ref="G529:L529" si="37">SUM(G526:G528)</f>
        <v>567873.49</v>
      </c>
      <c r="H529" s="89">
        <f t="shared" si="37"/>
        <v>474978.89</v>
      </c>
      <c r="I529" s="89">
        <f t="shared" si="37"/>
        <v>26476.7</v>
      </c>
      <c r="J529" s="89">
        <f t="shared" si="37"/>
        <v>762.24</v>
      </c>
      <c r="K529" s="89">
        <f t="shared" si="37"/>
        <v>258</v>
      </c>
      <c r="L529" s="89">
        <f t="shared" si="37"/>
        <v>2116705.3499999996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69442.19</v>
      </c>
      <c r="G531" s="18">
        <v>37053.339999999997</v>
      </c>
      <c r="H531" s="18">
        <v>1465.67</v>
      </c>
      <c r="I531" s="18">
        <v>867.47</v>
      </c>
      <c r="J531" s="18"/>
      <c r="K531" s="18">
        <v>594</v>
      </c>
      <c r="L531" s="88">
        <f>SUM(F531:K531)</f>
        <v>109422.67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36502.5</v>
      </c>
      <c r="G532" s="18">
        <v>19761.78</v>
      </c>
      <c r="H532" s="18">
        <v>781.69</v>
      </c>
      <c r="I532" s="18">
        <v>462.65</v>
      </c>
      <c r="J532" s="18"/>
      <c r="K532" s="18">
        <v>316.8</v>
      </c>
      <c r="L532" s="88">
        <f>SUM(F532:K532)</f>
        <v>57825.420000000006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47149.07</v>
      </c>
      <c r="G533" s="18">
        <v>25525.64</v>
      </c>
      <c r="H533" s="18">
        <v>1009.68</v>
      </c>
      <c r="I533" s="18">
        <v>597.59</v>
      </c>
      <c r="J533" s="18"/>
      <c r="K533" s="18">
        <v>409.2</v>
      </c>
      <c r="L533" s="88">
        <f>SUM(F533:K533)</f>
        <v>74691.179999999978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153093.76000000001</v>
      </c>
      <c r="G534" s="89">
        <f t="shared" ref="G534:L534" si="38">SUM(G531:G533)</f>
        <v>82340.759999999995</v>
      </c>
      <c r="H534" s="89">
        <f t="shared" si="38"/>
        <v>3257.04</v>
      </c>
      <c r="I534" s="89">
        <f t="shared" si="38"/>
        <v>1927.71</v>
      </c>
      <c r="J534" s="89">
        <f t="shared" si="38"/>
        <v>0</v>
      </c>
      <c r="K534" s="89">
        <f t="shared" si="38"/>
        <v>1320</v>
      </c>
      <c r="L534" s="89">
        <f t="shared" si="38"/>
        <v>241939.26999999996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4144.25</v>
      </c>
      <c r="I536" s="18"/>
      <c r="J536" s="18"/>
      <c r="K536" s="18"/>
      <c r="L536" s="88">
        <f>SUM(F536:K536)</f>
        <v>4144.25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2210.27</v>
      </c>
      <c r="I537" s="18"/>
      <c r="J537" s="18"/>
      <c r="K537" s="18"/>
      <c r="L537" s="88">
        <f>SUM(F537:K537)</f>
        <v>2210.27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2854.93</v>
      </c>
      <c r="I538" s="18"/>
      <c r="J538" s="18"/>
      <c r="K538" s="18"/>
      <c r="L538" s="88">
        <f>SUM(F538:K538)</f>
        <v>2854.93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9209.4500000000007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9209.4500000000007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248077.53</v>
      </c>
      <c r="I541" s="18"/>
      <c r="J541" s="18"/>
      <c r="K541" s="18"/>
      <c r="L541" s="88">
        <f>SUM(F541:K541)</f>
        <v>248077.53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130984.94</v>
      </c>
      <c r="I542" s="18"/>
      <c r="J542" s="18"/>
      <c r="K542" s="18"/>
      <c r="L542" s="88">
        <f>SUM(F542:K542)</f>
        <v>130984.94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166708.1</v>
      </c>
      <c r="I543" s="18"/>
      <c r="J543" s="18"/>
      <c r="K543" s="18"/>
      <c r="L543" s="88">
        <f>SUM(F543:K543)</f>
        <v>166708.1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545770.56999999995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545770.56999999995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5918893.3899999997</v>
      </c>
      <c r="G545" s="89">
        <f t="shared" ref="G545:L545" si="41">G524+G529+G534+G539+G544</f>
        <v>2441796.5799999996</v>
      </c>
      <c r="H545" s="89">
        <f t="shared" si="41"/>
        <v>2836486.7800000003</v>
      </c>
      <c r="I545" s="89">
        <f t="shared" si="41"/>
        <v>65158.749999999993</v>
      </c>
      <c r="J545" s="89">
        <f t="shared" si="41"/>
        <v>50115.98</v>
      </c>
      <c r="K545" s="89">
        <f t="shared" si="41"/>
        <v>17289.379999999997</v>
      </c>
      <c r="L545" s="89">
        <f t="shared" si="41"/>
        <v>11329740.859999999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3570994.01</v>
      </c>
      <c r="G549" s="87">
        <f>L526</f>
        <v>864580.87</v>
      </c>
      <c r="H549" s="87">
        <f>L531</f>
        <v>109422.67</v>
      </c>
      <c r="I549" s="87">
        <f>L536</f>
        <v>4144.25</v>
      </c>
      <c r="J549" s="87">
        <f>L541</f>
        <v>248077.53</v>
      </c>
      <c r="K549" s="87">
        <f>SUM(F549:J549)</f>
        <v>4797219.33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1733750.8199999998</v>
      </c>
      <c r="G550" s="87">
        <f>L527</f>
        <v>603199.78999999992</v>
      </c>
      <c r="H550" s="87">
        <f>L532</f>
        <v>57825.420000000006</v>
      </c>
      <c r="I550" s="87">
        <f>L537</f>
        <v>2210.27</v>
      </c>
      <c r="J550" s="87">
        <f>L542</f>
        <v>130984.94</v>
      </c>
      <c r="K550" s="87">
        <f>SUM(F550:J550)</f>
        <v>2527971.2399999998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3111371.39</v>
      </c>
      <c r="G551" s="87">
        <f>L528</f>
        <v>648924.68999999994</v>
      </c>
      <c r="H551" s="87">
        <f>L533</f>
        <v>74691.179999999978</v>
      </c>
      <c r="I551" s="87">
        <f>L538</f>
        <v>2854.93</v>
      </c>
      <c r="J551" s="87">
        <f>L543</f>
        <v>166708.1</v>
      </c>
      <c r="K551" s="87">
        <f>SUM(F551:J551)</f>
        <v>4004550.2900000005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8416116.2200000007</v>
      </c>
      <c r="G552" s="89">
        <f t="shared" si="42"/>
        <v>2116705.3499999996</v>
      </c>
      <c r="H552" s="89">
        <f t="shared" si="42"/>
        <v>241939.26999999996</v>
      </c>
      <c r="I552" s="89">
        <f t="shared" si="42"/>
        <v>9209.4500000000007</v>
      </c>
      <c r="J552" s="89">
        <f t="shared" si="42"/>
        <v>545770.56999999995</v>
      </c>
      <c r="K552" s="89">
        <f t="shared" si="42"/>
        <v>11329740.860000001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70319.490000000005</v>
      </c>
      <c r="G562" s="18">
        <v>28830.84</v>
      </c>
      <c r="H562" s="18">
        <v>87.75</v>
      </c>
      <c r="I562" s="18">
        <v>288.70999999999998</v>
      </c>
      <c r="J562" s="18">
        <v>381.16</v>
      </c>
      <c r="K562" s="18">
        <v>282.60000000000002</v>
      </c>
      <c r="L562" s="88">
        <f>SUM(F562:K562)</f>
        <v>100190.55000000002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37503.730000000003</v>
      </c>
      <c r="G563" s="18">
        <v>15376.45</v>
      </c>
      <c r="H563" s="18">
        <v>46.8</v>
      </c>
      <c r="I563" s="18">
        <v>153.97999999999999</v>
      </c>
      <c r="J563" s="18">
        <v>203.28</v>
      </c>
      <c r="K563" s="18">
        <v>150.72</v>
      </c>
      <c r="L563" s="88">
        <f>SUM(F563:K563)</f>
        <v>53434.960000000014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48442.32</v>
      </c>
      <c r="G564" s="18">
        <v>19861.25</v>
      </c>
      <c r="H564" s="18">
        <v>60.45</v>
      </c>
      <c r="I564" s="18">
        <v>198.89</v>
      </c>
      <c r="J564" s="18">
        <v>262.57</v>
      </c>
      <c r="K564" s="18">
        <v>194.67</v>
      </c>
      <c r="L564" s="88">
        <f>SUM(F564:K564)</f>
        <v>69020.150000000009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156265.54</v>
      </c>
      <c r="G565" s="89">
        <f t="shared" si="44"/>
        <v>64068.54</v>
      </c>
      <c r="H565" s="89">
        <f t="shared" si="44"/>
        <v>195</v>
      </c>
      <c r="I565" s="89">
        <f t="shared" si="44"/>
        <v>641.57999999999993</v>
      </c>
      <c r="J565" s="89">
        <f t="shared" si="44"/>
        <v>847.01</v>
      </c>
      <c r="K565" s="89">
        <f t="shared" si="44"/>
        <v>627.99</v>
      </c>
      <c r="L565" s="89">
        <f t="shared" si="44"/>
        <v>222645.66000000003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156265.54</v>
      </c>
      <c r="G571" s="89">
        <f t="shared" ref="G571:L571" si="46">G560+G565+G570</f>
        <v>64068.54</v>
      </c>
      <c r="H571" s="89">
        <f t="shared" si="46"/>
        <v>195</v>
      </c>
      <c r="I571" s="89">
        <f t="shared" si="46"/>
        <v>641.57999999999993</v>
      </c>
      <c r="J571" s="89">
        <f t="shared" si="46"/>
        <v>847.01</v>
      </c>
      <c r="K571" s="89">
        <f t="shared" si="46"/>
        <v>627.99</v>
      </c>
      <c r="L571" s="89">
        <f t="shared" si="46"/>
        <v>222645.66000000003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14738</v>
      </c>
      <c r="I575" s="87">
        <f>SUM(F575:H575)</f>
        <v>14738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70539.72</v>
      </c>
      <c r="I578" s="87">
        <f t="shared" si="47"/>
        <v>70539.72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1600</v>
      </c>
      <c r="H579" s="18">
        <v>16019.54</v>
      </c>
      <c r="I579" s="87">
        <f t="shared" si="47"/>
        <v>17619.54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4"/>
      <c r="G580" s="4"/>
      <c r="H580" s="4"/>
      <c r="I580" s="87">
        <f>SUM(F580:H580)</f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195456.77</v>
      </c>
      <c r="H582" s="18">
        <v>1100858.8599999999</v>
      </c>
      <c r="I582" s="87">
        <f t="shared" si="47"/>
        <v>1296315.6299999999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460535.47-3311.35</f>
        <v>457224.12</v>
      </c>
      <c r="I591" s="18">
        <v>288773.13</v>
      </c>
      <c r="J591" s="18">
        <f>460704.83-3480.71-972.26</f>
        <v>456251.86</v>
      </c>
      <c r="K591" s="104">
        <f t="shared" ref="K591:K597" si="48">SUM(H591:J591)</f>
        <v>1202249.1099999999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245596.76</v>
      </c>
      <c r="I592" s="18">
        <v>130984.94</v>
      </c>
      <c r="J592" s="18">
        <v>169188.88</v>
      </c>
      <c r="K592" s="104">
        <f t="shared" si="48"/>
        <v>545770.58000000007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972.26</v>
      </c>
      <c r="K593" s="104">
        <f t="shared" si="48"/>
        <v>972.26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3311.35</v>
      </c>
      <c r="I596" s="18"/>
      <c r="J596" s="18"/>
      <c r="K596" s="104">
        <f t="shared" si="48"/>
        <v>3311.35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3480.71</v>
      </c>
      <c r="K597" s="104">
        <f t="shared" si="48"/>
        <v>3480.71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706132.23</v>
      </c>
      <c r="I598" s="108">
        <f>SUM(I591:I597)</f>
        <v>419758.07</v>
      </c>
      <c r="J598" s="108">
        <f>SUM(J591:J597)</f>
        <v>629893.71</v>
      </c>
      <c r="K598" s="108">
        <f>SUM(K591:K597)</f>
        <v>1755784.01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296963.9+7160.69</f>
        <v>304124.59000000003</v>
      </c>
      <c r="I604" s="18">
        <f>153723.18+1926.79</f>
        <v>155649.97</v>
      </c>
      <c r="J604" s="18">
        <f>223068.6+21797.16+25535.1</f>
        <v>270400.86</v>
      </c>
      <c r="K604" s="104">
        <f>SUM(H604:J604)</f>
        <v>730175.42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304124.59000000003</v>
      </c>
      <c r="I605" s="108">
        <f>SUM(I602:I604)</f>
        <v>155649.97</v>
      </c>
      <c r="J605" s="108">
        <f>SUM(J602:J604)</f>
        <v>270400.86</v>
      </c>
      <c r="K605" s="108">
        <f>SUM(K602:K604)</f>
        <v>730175.42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>
        <v>77924.55</v>
      </c>
      <c r="H611" s="18">
        <v>12919.76</v>
      </c>
      <c r="I611" s="18"/>
      <c r="J611" s="18"/>
      <c r="K611" s="18"/>
      <c r="L611" s="88">
        <f>SUM(F611:K611)</f>
        <v>90844.31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>
        <v>41559.760000000002</v>
      </c>
      <c r="H612" s="18">
        <v>6890.54</v>
      </c>
      <c r="I612" s="18"/>
      <c r="J612" s="18"/>
      <c r="K612" s="18"/>
      <c r="L612" s="88">
        <f>SUM(F612:K612)</f>
        <v>48450.3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>
        <v>53681.35</v>
      </c>
      <c r="H613" s="18">
        <v>8900.2800000000007</v>
      </c>
      <c r="I613" s="18"/>
      <c r="J613" s="18"/>
      <c r="K613" s="18"/>
      <c r="L613" s="88">
        <f>SUM(F613:K613)</f>
        <v>62581.63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173165.66</v>
      </c>
      <c r="H614" s="108">
        <f t="shared" si="49"/>
        <v>28710.58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201876.24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2955631.1999999997</v>
      </c>
      <c r="H617" s="109">
        <f>SUM(F52)</f>
        <v>2955631.2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128039.07999999999</v>
      </c>
      <c r="H618" s="109">
        <f>SUM(G52)</f>
        <v>128039.08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330179.57999999996</v>
      </c>
      <c r="H619" s="109">
        <f>SUM(H52)</f>
        <v>330179.58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652244.39999999991</v>
      </c>
      <c r="H621" s="109">
        <f>SUM(J52)</f>
        <v>652244.39999999991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1380762.28</v>
      </c>
      <c r="H622" s="109">
        <f>F476</f>
        <v>1380762.2800000012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98081.77</v>
      </c>
      <c r="H623" s="109">
        <f>G476</f>
        <v>98081.770000000251</v>
      </c>
      <c r="I623" s="121" t="s">
        <v>102</v>
      </c>
      <c r="J623" s="109">
        <f t="shared" si="50"/>
        <v>-2.4738255888223648E-10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320564.39</v>
      </c>
      <c r="H624" s="109">
        <f>H476</f>
        <v>320564.3899999999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652244.39999999991</v>
      </c>
      <c r="H626" s="109">
        <f>J476</f>
        <v>652244.40000000014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45926867.629999995</v>
      </c>
      <c r="H627" s="104">
        <f>SUM(F468)</f>
        <v>45926867.630000003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1184894.6300000001</v>
      </c>
      <c r="H628" s="104">
        <f>SUM(G468)</f>
        <v>1184894.6300000001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1719651.45</v>
      </c>
      <c r="H629" s="104">
        <f>SUM(H468)</f>
        <v>1719651.4500000002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469092.55</v>
      </c>
      <c r="H631" s="104">
        <f>SUM(J468)</f>
        <v>469092.55000000005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45540809.029999994</v>
      </c>
      <c r="H632" s="104">
        <f>SUM(F472)</f>
        <v>45540809.030000001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1694480.17</v>
      </c>
      <c r="H633" s="104">
        <f>SUM(H472)</f>
        <v>1694480.1700000002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486825.45999999996</v>
      </c>
      <c r="H634" s="104">
        <f>I369</f>
        <v>486825.45999999996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1351081.5099999998</v>
      </c>
      <c r="H635" s="104">
        <f>SUM(G472)</f>
        <v>1351081.51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469092.55000000005</v>
      </c>
      <c r="H637" s="164">
        <f>SUM(J468)</f>
        <v>469092.55000000005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256598.18</v>
      </c>
      <c r="H638" s="164">
        <f>SUM(J472)</f>
        <v>256598.18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250875.5</v>
      </c>
      <c r="H639" s="104">
        <f>SUM(F461)</f>
        <v>250875.5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400550.43999999994</v>
      </c>
      <c r="H640" s="104">
        <f>SUM(G461)</f>
        <v>400550.44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818.46</v>
      </c>
      <c r="H641" s="104">
        <f>SUM(H461)</f>
        <v>818.46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652244.39999999991</v>
      </c>
      <c r="H642" s="104">
        <f>SUM(I461)</f>
        <v>652244.39999999991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10223.530000000001</v>
      </c>
      <c r="H644" s="104">
        <f>H408</f>
        <v>10223.530000000001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469092.55</v>
      </c>
      <c r="H646" s="104">
        <f>L408</f>
        <v>469092.55000000005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1755784.01</v>
      </c>
      <c r="H647" s="104">
        <f>L208+L226+L244</f>
        <v>1755784.01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730175.42</v>
      </c>
      <c r="H648" s="104">
        <f>(J257+J338)-(J255+J336)</f>
        <v>730175.41999999993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706132.23</v>
      </c>
      <c r="H649" s="104">
        <f>H598</f>
        <v>706132.23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419758.07</v>
      </c>
      <c r="H650" s="104">
        <f>I598</f>
        <v>419758.07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629893.71</v>
      </c>
      <c r="H651" s="104">
        <f>J598</f>
        <v>629893.71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18021225.890000001</v>
      </c>
      <c r="G660" s="19">
        <f>(L229+L309+L359)</f>
        <v>10951066.309999999</v>
      </c>
      <c r="H660" s="19">
        <f>(L247+L328+L360)</f>
        <v>18022105.319999997</v>
      </c>
      <c r="I660" s="19">
        <f>SUM(F660:H660)</f>
        <v>46994397.519999996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306848.72123023873</v>
      </c>
      <c r="G661" s="19">
        <f>(L359/IF(SUM(L358:L360)=0,1,SUM(L358:L360))*(SUM(G97:G110)))</f>
        <v>241376.84562359826</v>
      </c>
      <c r="H661" s="19">
        <f>(L360/IF(SUM(L358:L360)=0,1,SUM(L358:L360))*(SUM(G97:G110)))</f>
        <v>246944.833146163</v>
      </c>
      <c r="I661" s="19">
        <f>SUM(F661:H661)</f>
        <v>795170.4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706132.23</v>
      </c>
      <c r="G662" s="19">
        <f>(L226+L306)-(J226+J306)</f>
        <v>419758.07</v>
      </c>
      <c r="H662" s="19">
        <f>(L244+L325)-(J244+J325)</f>
        <v>629893.71</v>
      </c>
      <c r="I662" s="19">
        <f>SUM(F662:H662)</f>
        <v>1755784.01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394968.9</v>
      </c>
      <c r="G663" s="199">
        <f>SUM(G575:G587)+SUM(I602:I604)+L612</f>
        <v>401157.04</v>
      </c>
      <c r="H663" s="199">
        <f>SUM(H575:H587)+SUM(J602:J604)+L613</f>
        <v>1535138.6099999999</v>
      </c>
      <c r="I663" s="19">
        <f>SUM(F663:H663)</f>
        <v>2331264.5499999998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16613276.038769763</v>
      </c>
      <c r="G664" s="19">
        <f>G660-SUM(G661:G663)</f>
        <v>9888774.3543763999</v>
      </c>
      <c r="H664" s="19">
        <f>H660-SUM(H661:H663)</f>
        <v>15610128.166853834</v>
      </c>
      <c r="I664" s="19">
        <f>I660-SUM(I661:I663)</f>
        <v>42112178.559999995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1382.42</f>
        <v>1382.42</v>
      </c>
      <c r="G665" s="248">
        <v>821.85</v>
      </c>
      <c r="H665" s="248">
        <v>1301.48</v>
      </c>
      <c r="I665" s="19">
        <f>SUM(F665:H665)</f>
        <v>3505.75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12017.53</v>
      </c>
      <c r="G667" s="19">
        <f>ROUND(G664/G665,2)</f>
        <v>12032.33</v>
      </c>
      <c r="H667" s="19">
        <f>ROUND(H664/H665,2)</f>
        <v>11994.14</v>
      </c>
      <c r="I667" s="19">
        <f>ROUND(I664/I665,2)</f>
        <v>12012.32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13.5</v>
      </c>
      <c r="I670" s="19">
        <f>SUM(F670:H670)</f>
        <v>13.5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12017.53</v>
      </c>
      <c r="G672" s="19">
        <f>ROUND((G664+G669)/(G665+G670),2)</f>
        <v>12032.33</v>
      </c>
      <c r="H672" s="19">
        <f>ROUND((H664+H669)/(H665+H670),2)</f>
        <v>11871</v>
      </c>
      <c r="I672" s="19">
        <f>ROUND((I664+I669)/(I665+I670),2)</f>
        <v>11966.24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27" sqref="B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HUDSON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11071478.119999999</v>
      </c>
      <c r="C9" s="229">
        <f>'DOE25'!G197+'DOE25'!G215+'DOE25'!G233+'DOE25'!G276+'DOE25'!G295+'DOE25'!G314</f>
        <v>5661899.0100000007</v>
      </c>
    </row>
    <row r="10" spans="1:3" x14ac:dyDescent="0.2">
      <c r="A10" t="s">
        <v>779</v>
      </c>
      <c r="B10" s="240">
        <f>9106513.19+234782.52+112315</f>
        <v>9453610.709999999</v>
      </c>
      <c r="C10" s="240">
        <f>(B10/B9)*C9</f>
        <v>4834529.6391078811</v>
      </c>
    </row>
    <row r="11" spans="1:3" x14ac:dyDescent="0.2">
      <c r="A11" t="s">
        <v>780</v>
      </c>
      <c r="B11" s="240">
        <f>59434.13+18922.62+12471.22+287857.93</f>
        <v>378685.9</v>
      </c>
      <c r="C11" s="240">
        <f>(B11/B9)*C9</f>
        <v>193658.09145553905</v>
      </c>
    </row>
    <row r="12" spans="1:3" x14ac:dyDescent="0.2">
      <c r="A12" t="s">
        <v>781</v>
      </c>
      <c r="B12" s="240">
        <f>808106.64+60163+212284.67+158627.2</f>
        <v>1239181.51</v>
      </c>
      <c r="C12" s="240">
        <f>(B12/B9)*C9</f>
        <v>633711.27943658049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11071478.119999999</v>
      </c>
      <c r="C13" s="231">
        <f>SUM(C10:C12)</f>
        <v>5661899.0100000007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4719443.6000000006</v>
      </c>
      <c r="C18" s="229">
        <f>'DOE25'!G198+'DOE25'!G216+'DOE25'!G234+'DOE25'!G277+'DOE25'!G296+'DOE25'!G315</f>
        <v>1791582.3299999998</v>
      </c>
    </row>
    <row r="19" spans="1:3" x14ac:dyDescent="0.2">
      <c r="A19" t="s">
        <v>779</v>
      </c>
      <c r="B19" s="240">
        <f>1415056.99+173165.66+196682.99+386662.13</f>
        <v>2171567.77</v>
      </c>
      <c r="C19" s="240">
        <f>(B19/B18)*C18</f>
        <v>824364.64441051986</v>
      </c>
    </row>
    <row r="20" spans="1:3" x14ac:dyDescent="0.2">
      <c r="A20" t="s">
        <v>780</v>
      </c>
      <c r="B20" s="240">
        <f>17676.24+1721912.38+2184+82989.44+126275.53+12564.71</f>
        <v>1963602.2999999998</v>
      </c>
      <c r="C20" s="240">
        <f>(B20/B18)*C18</f>
        <v>745417.35890802008</v>
      </c>
    </row>
    <row r="21" spans="1:3" x14ac:dyDescent="0.2">
      <c r="A21" t="s">
        <v>781</v>
      </c>
      <c r="B21" s="240">
        <f>195575.64+177916+210781.89</f>
        <v>584273.53</v>
      </c>
      <c r="C21" s="240">
        <f>(B21/B18)*C18</f>
        <v>221800.32668145982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4719443.5999999996</v>
      </c>
      <c r="C22" s="231">
        <f>SUM(C19:C21)</f>
        <v>1791582.3299999996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1026878.13</v>
      </c>
      <c r="C27" s="234">
        <f>'DOE25'!G199+'DOE25'!G217+'DOE25'!G235+'DOE25'!G278+'DOE25'!G297+'DOE25'!G316</f>
        <v>540814.59000000008</v>
      </c>
    </row>
    <row r="28" spans="1:3" x14ac:dyDescent="0.2">
      <c r="A28" t="s">
        <v>779</v>
      </c>
      <c r="B28" s="240">
        <f>675788.11</f>
        <v>675788.11</v>
      </c>
      <c r="C28" s="240">
        <f>(B28/B31)*C27</f>
        <v>355909.87767606362</v>
      </c>
    </row>
    <row r="29" spans="1:3" x14ac:dyDescent="0.2">
      <c r="A29" t="s">
        <v>780</v>
      </c>
      <c r="B29" s="240">
        <v>55864</v>
      </c>
      <c r="C29" s="240">
        <f>(B29/B31)*C27</f>
        <v>29421.27733868478</v>
      </c>
    </row>
    <row r="30" spans="1:3" x14ac:dyDescent="0.2">
      <c r="A30" t="s">
        <v>781</v>
      </c>
      <c r="B30" s="240">
        <f>219087.12+39480.9+20555.5+16102.5</f>
        <v>295226.02</v>
      </c>
      <c r="C30" s="240">
        <f>(B30/B31)*C27</f>
        <v>155483.43498525169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1026878.13</v>
      </c>
      <c r="C31" s="231">
        <f>SUM(C28:C30)</f>
        <v>540814.59000000008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290387.28999999998</v>
      </c>
      <c r="C36" s="235">
        <f>'DOE25'!G200+'DOE25'!G218+'DOE25'!G236+'DOE25'!G279+'DOE25'!G298+'DOE25'!G317</f>
        <v>53725.18</v>
      </c>
    </row>
    <row r="37" spans="1:3" x14ac:dyDescent="0.2">
      <c r="A37" t="s">
        <v>779</v>
      </c>
      <c r="B37" s="240">
        <v>290387.28999999998</v>
      </c>
      <c r="C37" s="240">
        <f>C36</f>
        <v>53725.18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290387.28999999998</v>
      </c>
      <c r="C40" s="231">
        <f>SUM(C37:C39)</f>
        <v>53725.18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HUDSON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27153994.720000003</v>
      </c>
      <c r="D5" s="20">
        <f>SUM('DOE25'!L197:L200)+SUM('DOE25'!L215:L218)+SUM('DOE25'!L233:L236)-F5-G5</f>
        <v>27000129.040000003</v>
      </c>
      <c r="E5" s="243"/>
      <c r="F5" s="255">
        <f>SUM('DOE25'!J197:J200)+SUM('DOE25'!J215:J218)+SUM('DOE25'!J233:J236)</f>
        <v>132537.68</v>
      </c>
      <c r="G5" s="53">
        <f>SUM('DOE25'!K197:K200)+SUM('DOE25'!K215:K218)+SUM('DOE25'!K233:K236)</f>
        <v>21328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4152124.0599999996</v>
      </c>
      <c r="D6" s="20">
        <f>'DOE25'!L202+'DOE25'!L220+'DOE25'!L238-F6-G6</f>
        <v>4143683.8599999994</v>
      </c>
      <c r="E6" s="243"/>
      <c r="F6" s="255">
        <f>'DOE25'!J202+'DOE25'!J220+'DOE25'!J238</f>
        <v>6955.2000000000007</v>
      </c>
      <c r="G6" s="53">
        <f>'DOE25'!K202+'DOE25'!K220+'DOE25'!K238</f>
        <v>1485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1662244.17</v>
      </c>
      <c r="D7" s="20">
        <f>'DOE25'!L203+'DOE25'!L221+'DOE25'!L239-F7-G7</f>
        <v>1158427.67</v>
      </c>
      <c r="E7" s="243"/>
      <c r="F7" s="255">
        <f>'DOE25'!J203+'DOE25'!J221+'DOE25'!J239</f>
        <v>503442.5</v>
      </c>
      <c r="G7" s="53">
        <f>'DOE25'!K203+'DOE25'!K221+'DOE25'!K239</f>
        <v>374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289007.92999999988</v>
      </c>
      <c r="D8" s="243"/>
      <c r="E8" s="20">
        <f>'DOE25'!L204+'DOE25'!L222+'DOE25'!L240-F8-G8-D9-D11</f>
        <v>261769.2699999999</v>
      </c>
      <c r="F8" s="255">
        <f>'DOE25'!J204+'DOE25'!J222+'DOE25'!J240</f>
        <v>0</v>
      </c>
      <c r="G8" s="53">
        <f>'DOE25'!K204+'DOE25'!K222+'DOE25'!K240</f>
        <v>27238.66</v>
      </c>
      <c r="H8" s="259"/>
    </row>
    <row r="9" spans="1:9" x14ac:dyDescent="0.2">
      <c r="A9" s="32">
        <v>2310</v>
      </c>
      <c r="B9" t="s">
        <v>818</v>
      </c>
      <c r="C9" s="245">
        <f t="shared" si="0"/>
        <v>84004.96</v>
      </c>
      <c r="D9" s="244">
        <f>9900+2851.11+84460.49+8943.36-22150</f>
        <v>84004.96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22150</v>
      </c>
      <c r="D10" s="243"/>
      <c r="E10" s="244">
        <v>22150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543491.95000000007</v>
      </c>
      <c r="D11" s="244">
        <f>381385+150557.57+4419.89+7129.49</f>
        <v>543491.95000000007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2854504.42</v>
      </c>
      <c r="D12" s="20">
        <f>'DOE25'!L205+'DOE25'!L223+'DOE25'!L241-F12-G12</f>
        <v>2842563.8</v>
      </c>
      <c r="E12" s="243"/>
      <c r="F12" s="255">
        <f>'DOE25'!J205+'DOE25'!J223+'DOE25'!J241</f>
        <v>1457.92</v>
      </c>
      <c r="G12" s="53">
        <f>'DOE25'!K205+'DOE25'!K223+'DOE25'!K241</f>
        <v>10482.700000000001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830444.81</v>
      </c>
      <c r="D13" s="243"/>
      <c r="E13" s="20">
        <f>'DOE25'!L206+'DOE25'!L224+'DOE25'!L242-F13-G13</f>
        <v>825929.9</v>
      </c>
      <c r="F13" s="255">
        <f>'DOE25'!J206+'DOE25'!J224+'DOE25'!J242</f>
        <v>4514.91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4667411.41</v>
      </c>
      <c r="D14" s="20">
        <f>'DOE25'!L207+'DOE25'!L225+'DOE25'!L243-F14-G14</f>
        <v>4642563.9400000004</v>
      </c>
      <c r="E14" s="243"/>
      <c r="F14" s="255">
        <f>'DOE25'!J207+'DOE25'!J225+'DOE25'!J243</f>
        <v>24847.469999999998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1755784.01</v>
      </c>
      <c r="D15" s="20">
        <f>'DOE25'!L208+'DOE25'!L226+'DOE25'!L244-F15-G15</f>
        <v>1755784.01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24403.629999999997</v>
      </c>
      <c r="D16" s="243"/>
      <c r="E16" s="20">
        <f>'DOE25'!L209+'DOE25'!L227+'DOE25'!L245-F16-G16</f>
        <v>24403.629999999997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1253827.53</v>
      </c>
      <c r="D25" s="243"/>
      <c r="E25" s="243"/>
      <c r="F25" s="258"/>
      <c r="G25" s="256"/>
      <c r="H25" s="257">
        <f>'DOE25'!L260+'DOE25'!L261+'DOE25'!L341+'DOE25'!L342</f>
        <v>1253827.53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919020.75999999978</v>
      </c>
      <c r="D29" s="20">
        <f>'DOE25'!L358+'DOE25'!L359+'DOE25'!L360-'DOE25'!I367-F29-G29</f>
        <v>773263.96999999974</v>
      </c>
      <c r="E29" s="243"/>
      <c r="F29" s="255">
        <f>'DOE25'!J358+'DOE25'!J359+'DOE25'!J360</f>
        <v>142322.38</v>
      </c>
      <c r="G29" s="53">
        <f>'DOE25'!K358+'DOE25'!K359+'DOE25'!K360</f>
        <v>3434.41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1694480.17</v>
      </c>
      <c r="D31" s="20">
        <f>'DOE25'!L290+'DOE25'!L309+'DOE25'!L328+'DOE25'!L333+'DOE25'!L334+'DOE25'!L335-F31-G31</f>
        <v>1599938.3299999998</v>
      </c>
      <c r="E31" s="243"/>
      <c r="F31" s="255">
        <f>'DOE25'!J290+'DOE25'!J309+'DOE25'!J328+'DOE25'!J333+'DOE25'!J334+'DOE25'!J335</f>
        <v>56419.740000000005</v>
      </c>
      <c r="G31" s="53">
        <f>'DOE25'!K290+'DOE25'!K309+'DOE25'!K328+'DOE25'!K333+'DOE25'!K334+'DOE25'!K335</f>
        <v>38122.1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44543851.529999994</v>
      </c>
      <c r="E33" s="246">
        <f>SUM(E5:E31)</f>
        <v>1134252.7999999998</v>
      </c>
      <c r="F33" s="246">
        <f>SUM(F5:F31)</f>
        <v>872497.8</v>
      </c>
      <c r="G33" s="246">
        <f>SUM(G5:G31)</f>
        <v>102464.87</v>
      </c>
      <c r="H33" s="246">
        <f>SUM(H5:H31)</f>
        <v>1253827.53</v>
      </c>
    </row>
    <row r="35" spans="2:8" ht="12" thickBot="1" x14ac:dyDescent="0.25">
      <c r="B35" s="253" t="s">
        <v>847</v>
      </c>
      <c r="D35" s="254">
        <f>E33</f>
        <v>1134252.7999999998</v>
      </c>
      <c r="E35" s="249"/>
    </row>
    <row r="36" spans="2:8" ht="12" thickTop="1" x14ac:dyDescent="0.2">
      <c r="B36" t="s">
        <v>815</v>
      </c>
      <c r="D36" s="20">
        <f>D33</f>
        <v>44543851.529999994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2313285.17</v>
      </c>
      <c r="D8" s="95">
        <f>'DOE25'!G9</f>
        <v>108378.04</v>
      </c>
      <c r="E8" s="95">
        <f>'DOE25'!H9</f>
        <v>-71620.420000000027</v>
      </c>
      <c r="F8" s="95">
        <f>'DOE25'!I9</f>
        <v>0</v>
      </c>
      <c r="G8" s="95">
        <f>'DOE25'!J9</f>
        <v>646962.67999999993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402140.53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5281.72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157780.01</v>
      </c>
      <c r="D12" s="95">
        <f>'DOE25'!G13</f>
        <v>19661.04</v>
      </c>
      <c r="E12" s="95">
        <f>'DOE25'!H13</f>
        <v>401800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24292.959999999999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58132.53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2955631.1999999997</v>
      </c>
      <c r="D18" s="41">
        <f>SUM(D8:D17)</f>
        <v>128039.07999999999</v>
      </c>
      <c r="E18" s="41">
        <f>SUM(E8:E17)</f>
        <v>330179.57999999996</v>
      </c>
      <c r="F18" s="41">
        <f>SUM(F8:F17)</f>
        <v>0</v>
      </c>
      <c r="G18" s="41">
        <f>SUM(G8:G17)</f>
        <v>652244.39999999991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30215.49</v>
      </c>
      <c r="D22" s="95">
        <f>'DOE25'!G23</f>
        <v>0</v>
      </c>
      <c r="E22" s="95">
        <f>'DOE25'!H23</f>
        <v>5775.42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370589.05</v>
      </c>
      <c r="D23" s="95">
        <f>'DOE25'!G24</f>
        <v>3038.43</v>
      </c>
      <c r="E23" s="95">
        <f>'DOE25'!H24</f>
        <v>1049.48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16233.82</v>
      </c>
      <c r="D27" s="95">
        <f>'DOE25'!G28</f>
        <v>26918.880000000001</v>
      </c>
      <c r="E27" s="95">
        <f>'DOE25'!H28</f>
        <v>2790.29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1153795.56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4035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1574868.92</v>
      </c>
      <c r="D31" s="41">
        <f>SUM(D21:D30)</f>
        <v>29957.31</v>
      </c>
      <c r="E31" s="41">
        <f>SUM(E21:E30)</f>
        <v>9615.1899999999987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58132.53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98081.77</v>
      </c>
      <c r="E47" s="95">
        <f>'DOE25'!H48</f>
        <v>320564.39</v>
      </c>
      <c r="F47" s="95">
        <f>'DOE25'!I48</f>
        <v>0</v>
      </c>
      <c r="G47" s="95">
        <f>'DOE25'!J48</f>
        <v>652244.39999999991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564555.68000000005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558074.06999999995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1380762.28</v>
      </c>
      <c r="D50" s="41">
        <f>SUM(D34:D49)</f>
        <v>98081.77</v>
      </c>
      <c r="E50" s="41">
        <f>SUM(E34:E49)</f>
        <v>320564.39</v>
      </c>
      <c r="F50" s="41">
        <f>SUM(F34:F49)</f>
        <v>0</v>
      </c>
      <c r="G50" s="41">
        <f>SUM(G34:G49)</f>
        <v>652244.39999999991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2955631.2</v>
      </c>
      <c r="D51" s="41">
        <f>D50+D31</f>
        <v>128039.08</v>
      </c>
      <c r="E51" s="41">
        <f>E50+E31</f>
        <v>330179.58</v>
      </c>
      <c r="F51" s="41">
        <f>F50+F31</f>
        <v>0</v>
      </c>
      <c r="G51" s="41">
        <f>G50+G31</f>
        <v>652244.39999999991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29111116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132718.18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6732.51</v>
      </c>
      <c r="D59" s="95">
        <f>'DOE25'!G96</f>
        <v>230.05</v>
      </c>
      <c r="E59" s="95">
        <f>'DOE25'!H96</f>
        <v>395.21</v>
      </c>
      <c r="F59" s="95">
        <f>'DOE25'!I96</f>
        <v>0</v>
      </c>
      <c r="G59" s="95">
        <f>'DOE25'!J96</f>
        <v>10223.530000000001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776667.26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487081.62</v>
      </c>
      <c r="D61" s="95">
        <f>SUM('DOE25'!G98:G110)</f>
        <v>18503.14</v>
      </c>
      <c r="E61" s="95">
        <f>SUM('DOE25'!H98:H110)</f>
        <v>199933.14</v>
      </c>
      <c r="F61" s="95">
        <f>SUM('DOE25'!I98:I110)</f>
        <v>0</v>
      </c>
      <c r="G61" s="95">
        <f>SUM('DOE25'!J98:J110)</f>
        <v>258869.02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626532.31000000006</v>
      </c>
      <c r="D62" s="130">
        <f>SUM(D57:D61)</f>
        <v>795400.45000000007</v>
      </c>
      <c r="E62" s="130">
        <f>SUM(E57:E61)</f>
        <v>200328.35</v>
      </c>
      <c r="F62" s="130">
        <f>SUM(F57:F61)</f>
        <v>0</v>
      </c>
      <c r="G62" s="130">
        <f>SUM(G57:G61)</f>
        <v>269092.55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29737648.309999999</v>
      </c>
      <c r="D63" s="22">
        <f>D56+D62</f>
        <v>795400.45000000007</v>
      </c>
      <c r="E63" s="22">
        <f>E56+E62</f>
        <v>200328.35</v>
      </c>
      <c r="F63" s="22">
        <f>F56+F62</f>
        <v>0</v>
      </c>
      <c r="G63" s="22">
        <f>G56+G62</f>
        <v>269092.55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8768311.1400000006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6067793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14310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14850414.140000001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390237.55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411803.33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112246.48999999999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2728.87</v>
      </c>
      <c r="D77" s="95">
        <f>SUM('DOE25'!G131:G135)</f>
        <v>19062.86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917016.24</v>
      </c>
      <c r="D78" s="130">
        <f>SUM(D72:D77)</f>
        <v>19062.86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15767430.380000001</v>
      </c>
      <c r="D81" s="130">
        <f>SUM(D79:D80)+D78+D70</f>
        <v>19062.86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390123.21</v>
      </c>
      <c r="D88" s="95">
        <f>SUM('DOE25'!G153:G161)</f>
        <v>370431.32</v>
      </c>
      <c r="E88" s="95">
        <f>SUM('DOE25'!H153:H161)</f>
        <v>1519323.0999999999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390123.21</v>
      </c>
      <c r="D91" s="131">
        <f>SUM(D85:D90)</f>
        <v>370431.32</v>
      </c>
      <c r="E91" s="131">
        <f>SUM(E85:E90)</f>
        <v>1519323.0999999999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31665.73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31665.73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45926867.629999995</v>
      </c>
      <c r="D104" s="86">
        <f>D63+D81+D91+D103</f>
        <v>1184894.6300000001</v>
      </c>
      <c r="E104" s="86">
        <f>E63+E81+E91+E103</f>
        <v>1719651.45</v>
      </c>
      <c r="F104" s="86">
        <f>F63+F81+F91+F103</f>
        <v>0</v>
      </c>
      <c r="G104" s="86">
        <f>G63+G81+G103</f>
        <v>469092.55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17274025</v>
      </c>
      <c r="D109" s="24" t="s">
        <v>289</v>
      </c>
      <c r="E109" s="95">
        <f>('DOE25'!L276)+('DOE25'!L295)+('DOE25'!L314)</f>
        <v>488288.01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7601955.6200000001</v>
      </c>
      <c r="D110" s="24" t="s">
        <v>289</v>
      </c>
      <c r="E110" s="95">
        <f>('DOE25'!L277)+('DOE25'!L296)+('DOE25'!L315)</f>
        <v>744595.15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1677027.76</v>
      </c>
      <c r="D111" s="24" t="s">
        <v>289</v>
      </c>
      <c r="E111" s="95">
        <f>('DOE25'!L278)+('DOE25'!L297)+('DOE25'!L316)</f>
        <v>274742.28999999998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600986.34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68580.23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27153994.720000003</v>
      </c>
      <c r="D115" s="86">
        <f>SUM(D109:D114)</f>
        <v>0</v>
      </c>
      <c r="E115" s="86">
        <f>SUM(E109:E114)</f>
        <v>1576205.6800000002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4152124.0599999996</v>
      </c>
      <c r="D118" s="24" t="s">
        <v>289</v>
      </c>
      <c r="E118" s="95">
        <f>+('DOE25'!L281)+('DOE25'!L300)+('DOE25'!L319)</f>
        <v>42198.650000000009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1662244.17</v>
      </c>
      <c r="D119" s="24" t="s">
        <v>289</v>
      </c>
      <c r="E119" s="95">
        <f>+('DOE25'!L282)+('DOE25'!L301)+('DOE25'!L320)</f>
        <v>75775.839999999997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916504.84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2854504.42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830444.81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4667411.41</v>
      </c>
      <c r="D123" s="24" t="s">
        <v>289</v>
      </c>
      <c r="E123" s="95">
        <f>+('DOE25'!L286)+('DOE25'!L305)+('DOE25'!L324)</f>
        <v>300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1755784.01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24403.629999999997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1351081.5099999998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16863421.349999998</v>
      </c>
      <c r="D128" s="86">
        <f>SUM(D118:D127)</f>
        <v>1351081.5099999998</v>
      </c>
      <c r="E128" s="86">
        <f>SUM(E118:E127)</f>
        <v>118274.49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1082852.74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170974.79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9665.43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362668.5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106404.46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19.59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-269092.55000000005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69565.429999999993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1523392.96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9665.43</v>
      </c>
    </row>
    <row r="145" spans="1:9" ht="12.75" thickTop="1" thickBot="1" x14ac:dyDescent="0.25">
      <c r="A145" s="33" t="s">
        <v>244</v>
      </c>
      <c r="C145" s="86">
        <f>(C115+C128+C144)</f>
        <v>45540809.030000001</v>
      </c>
      <c r="D145" s="86">
        <f>(D115+D128+D144)</f>
        <v>1351081.5099999998</v>
      </c>
      <c r="E145" s="86">
        <f>(E115+E128+E144)</f>
        <v>1694480.1700000002</v>
      </c>
      <c r="F145" s="86">
        <f>(F115+F128+F144)</f>
        <v>0</v>
      </c>
      <c r="G145" s="86">
        <f>(G115+G128+G144)</f>
        <v>9665.43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8220000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4590000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4590000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820000</v>
      </c>
    </row>
    <row r="159" spans="1:9" x14ac:dyDescent="0.2">
      <c r="A159" s="22" t="s">
        <v>35</v>
      </c>
      <c r="B159" s="137">
        <f>'DOE25'!F498</f>
        <v>3770000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3770000</v>
      </c>
    </row>
    <row r="160" spans="1:9" x14ac:dyDescent="0.2">
      <c r="A160" s="22" t="s">
        <v>36</v>
      </c>
      <c r="B160" s="137">
        <f>'DOE25'!F499</f>
        <v>341953.15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341953.15</v>
      </c>
    </row>
    <row r="161" spans="1:7" x14ac:dyDescent="0.2">
      <c r="A161" s="22" t="s">
        <v>37</v>
      </c>
      <c r="B161" s="137">
        <f>'DOE25'!F500</f>
        <v>4111953.15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4111953.15</v>
      </c>
    </row>
    <row r="162" spans="1:7" x14ac:dyDescent="0.2">
      <c r="A162" s="22" t="s">
        <v>38</v>
      </c>
      <c r="B162" s="137">
        <f>'DOE25'!F501</f>
        <v>795000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795000</v>
      </c>
    </row>
    <row r="163" spans="1:7" x14ac:dyDescent="0.2">
      <c r="A163" s="22" t="s">
        <v>39</v>
      </c>
      <c r="B163" s="137">
        <f>'DOE25'!F502</f>
        <v>115750.01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115750.01</v>
      </c>
    </row>
    <row r="164" spans="1:7" x14ac:dyDescent="0.2">
      <c r="A164" s="22" t="s">
        <v>246</v>
      </c>
      <c r="B164" s="137">
        <f>'DOE25'!F503</f>
        <v>910750.01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910750.01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3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HUDSON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12018</v>
      </c>
    </row>
    <row r="5" spans="1:4" x14ac:dyDescent="0.2">
      <c r="B5" t="s">
        <v>704</v>
      </c>
      <c r="C5" s="179">
        <f>IF('DOE25'!G665+'DOE25'!G670=0,0,ROUND('DOE25'!G672,0))</f>
        <v>12032</v>
      </c>
    </row>
    <row r="6" spans="1:4" x14ac:dyDescent="0.2">
      <c r="B6" t="s">
        <v>62</v>
      </c>
      <c r="C6" s="179">
        <f>IF('DOE25'!H665+'DOE25'!H670=0,0,ROUND('DOE25'!H672,0))</f>
        <v>11871</v>
      </c>
    </row>
    <row r="7" spans="1:4" x14ac:dyDescent="0.2">
      <c r="B7" t="s">
        <v>705</v>
      </c>
      <c r="C7" s="179">
        <f>IF('DOE25'!I665+'DOE25'!I670=0,0,ROUND('DOE25'!I672,0))</f>
        <v>11966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17762313</v>
      </c>
      <c r="D10" s="182">
        <f>ROUND((C10/$C$28)*100,1)</f>
        <v>38.200000000000003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8346551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1951770</v>
      </c>
      <c r="D12" s="182">
        <f>ROUND((C12/$C$28)*100,1)</f>
        <v>4.2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600986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4194323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1738020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940908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2854504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830445</v>
      </c>
      <c r="D19" s="182">
        <f t="shared" si="0"/>
        <v>1.8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4667711</v>
      </c>
      <c r="D20" s="182">
        <f t="shared" si="0"/>
        <v>10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1755784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68580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170975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69565.429999999993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555911.6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46508347.030000001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46508347.030000001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1082853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29111116</v>
      </c>
      <c r="D35" s="182">
        <f t="shared" ref="D35:D40" si="1">ROUND((C35/$C$41)*100,1)</f>
        <v>60.3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1096183.2600000016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14836104</v>
      </c>
      <c r="D37" s="182">
        <f t="shared" si="1"/>
        <v>30.7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950389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2279878</v>
      </c>
      <c r="D39" s="182">
        <f t="shared" si="1"/>
        <v>4.7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48273670.260000005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HUDSON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0" sqref="L40"/>
    </sheetView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2016-10-27T14:55:35Z</cp:lastPrinted>
  <dcterms:created xsi:type="dcterms:W3CDTF">1997-12-04T19:04:30Z</dcterms:created>
  <dcterms:modified xsi:type="dcterms:W3CDTF">2016-11-30T16:24:31Z</dcterms:modified>
</cp:coreProperties>
</file>