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7" i="1" l="1"/>
  <c r="H597" i="1" l="1"/>
  <c r="F46" i="1" l="1"/>
  <c r="F13" i="1"/>
  <c r="I528" i="1" l="1"/>
  <c r="H528" i="1"/>
  <c r="G528" i="1"/>
  <c r="F528" i="1"/>
  <c r="I526" i="1"/>
  <c r="H526" i="1"/>
  <c r="G526" i="1"/>
  <c r="F526" i="1"/>
  <c r="J604" i="1"/>
  <c r="H604" i="1"/>
  <c r="H595" i="1"/>
  <c r="F665" i="1" l="1"/>
  <c r="K360" i="1" l="1"/>
  <c r="K358" i="1"/>
  <c r="J360" i="1"/>
  <c r="J358" i="1"/>
  <c r="H360" i="1"/>
  <c r="H358" i="1"/>
  <c r="H592" i="1"/>
  <c r="J591" i="1"/>
  <c r="H591" i="1"/>
  <c r="G611" i="1"/>
  <c r="F611" i="1"/>
  <c r="F582" i="1" l="1"/>
  <c r="I564" i="1"/>
  <c r="I562" i="1"/>
  <c r="G564" i="1"/>
  <c r="G562" i="1"/>
  <c r="F564" i="1"/>
  <c r="F562" i="1"/>
  <c r="G158" i="1" l="1"/>
  <c r="G97" i="1"/>
  <c r="F101" i="1"/>
  <c r="H102" i="1"/>
  <c r="H155" i="1"/>
  <c r="H154" i="1"/>
  <c r="J96" i="1"/>
  <c r="H396" i="1"/>
  <c r="G439" i="1"/>
  <c r="H472" i="1"/>
  <c r="H468" i="1"/>
  <c r="H24" i="1"/>
  <c r="H22" i="1"/>
  <c r="H13" i="1"/>
  <c r="H12" i="1"/>
  <c r="I9" i="1"/>
  <c r="H30" i="1"/>
  <c r="H14" i="1"/>
  <c r="F29" i="1" l="1"/>
  <c r="F1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7" i="10"/>
  <c r="C18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9" i="2"/>
  <c r="C120" i="2"/>
  <c r="E120" i="2"/>
  <c r="C121" i="2"/>
  <c r="E121" i="2"/>
  <c r="C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2" i="1"/>
  <c r="H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18" i="2"/>
  <c r="C26" i="10"/>
  <c r="L328" i="1"/>
  <c r="L351" i="1"/>
  <c r="C70" i="2"/>
  <c r="A40" i="12"/>
  <c r="D12" i="13"/>
  <c r="C12" i="13" s="1"/>
  <c r="D62" i="2"/>
  <c r="D63" i="2" s="1"/>
  <c r="D18" i="13"/>
  <c r="C18" i="13" s="1"/>
  <c r="D15" i="13"/>
  <c r="C15" i="13" s="1"/>
  <c r="D17" i="13"/>
  <c r="C17" i="13" s="1"/>
  <c r="E8" i="13"/>
  <c r="C8" i="13" s="1"/>
  <c r="F78" i="2"/>
  <c r="F81" i="2" s="1"/>
  <c r="D31" i="2"/>
  <c r="D50" i="2"/>
  <c r="F18" i="2"/>
  <c r="G156" i="2"/>
  <c r="E103" i="2"/>
  <c r="D91" i="2"/>
  <c r="E62" i="2"/>
  <c r="E63" i="2" s="1"/>
  <c r="E31" i="2"/>
  <c r="G62" i="2"/>
  <c r="D19" i="13"/>
  <c r="C19" i="13" s="1"/>
  <c r="D14" i="13"/>
  <c r="C14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J643" i="1"/>
  <c r="F169" i="1"/>
  <c r="J140" i="1"/>
  <c r="I552" i="1"/>
  <c r="K550" i="1"/>
  <c r="G22" i="2"/>
  <c r="C29" i="10"/>
  <c r="H140" i="1"/>
  <c r="L393" i="1"/>
  <c r="A13" i="12"/>
  <c r="F22" i="13"/>
  <c r="H25" i="13"/>
  <c r="C25" i="13" s="1"/>
  <c r="J634" i="1"/>
  <c r="H571" i="1"/>
  <c r="L560" i="1"/>
  <c r="H338" i="1"/>
  <c r="H352" i="1" s="1"/>
  <c r="G192" i="1"/>
  <c r="H192" i="1"/>
  <c r="F552" i="1"/>
  <c r="C35" i="10"/>
  <c r="L309" i="1"/>
  <c r="D5" i="13"/>
  <c r="C5" i="13" s="1"/>
  <c r="J655" i="1"/>
  <c r="L570" i="1"/>
  <c r="I571" i="1"/>
  <c r="G36" i="2"/>
  <c r="C22" i="13"/>
  <c r="C138" i="2"/>
  <c r="H33" i="13"/>
  <c r="D7" i="13" l="1"/>
  <c r="C7" i="13" s="1"/>
  <c r="E16" i="13"/>
  <c r="C16" i="13" s="1"/>
  <c r="E13" i="13"/>
  <c r="C13" i="13" s="1"/>
  <c r="H257" i="1"/>
  <c r="H271" i="1" s="1"/>
  <c r="K500" i="1"/>
  <c r="H552" i="1"/>
  <c r="H545" i="1"/>
  <c r="C15" i="10"/>
  <c r="C11" i="10"/>
  <c r="G338" i="1"/>
  <c r="G352" i="1" s="1"/>
  <c r="E118" i="2"/>
  <c r="E128" i="2" s="1"/>
  <c r="C20" i="10"/>
  <c r="L290" i="1"/>
  <c r="L338" i="1" s="1"/>
  <c r="L352" i="1" s="1"/>
  <c r="G633" i="1" s="1"/>
  <c r="J633" i="1" s="1"/>
  <c r="I662" i="1"/>
  <c r="C19" i="10"/>
  <c r="I257" i="1"/>
  <c r="I271" i="1" s="1"/>
  <c r="F661" i="1"/>
  <c r="H661" i="1"/>
  <c r="D29" i="13"/>
  <c r="C29" i="13" s="1"/>
  <c r="G661" i="1"/>
  <c r="L362" i="1"/>
  <c r="C27" i="10" s="1"/>
  <c r="D145" i="2"/>
  <c r="I661" i="1"/>
  <c r="J651" i="1"/>
  <c r="K598" i="1"/>
  <c r="G647" i="1" s="1"/>
  <c r="J647" i="1" s="1"/>
  <c r="J649" i="1"/>
  <c r="L565" i="1"/>
  <c r="K551" i="1"/>
  <c r="J552" i="1"/>
  <c r="K545" i="1"/>
  <c r="G545" i="1"/>
  <c r="G552" i="1"/>
  <c r="J545" i="1"/>
  <c r="K549" i="1"/>
  <c r="L539" i="1"/>
  <c r="L529" i="1"/>
  <c r="I545" i="1"/>
  <c r="L524" i="1"/>
  <c r="C128" i="2"/>
  <c r="F476" i="1"/>
  <c r="H622" i="1" s="1"/>
  <c r="J622" i="1" s="1"/>
  <c r="E33" i="13"/>
  <c r="D35" i="13" s="1"/>
  <c r="C16" i="10"/>
  <c r="C110" i="2"/>
  <c r="C115" i="2" s="1"/>
  <c r="H660" i="1"/>
  <c r="H664" i="1" s="1"/>
  <c r="H667" i="1" s="1"/>
  <c r="J257" i="1"/>
  <c r="J271" i="1" s="1"/>
  <c r="L211" i="1"/>
  <c r="L257" i="1" s="1"/>
  <c r="L271" i="1" s="1"/>
  <c r="G632" i="1" s="1"/>
  <c r="J632" i="1" s="1"/>
  <c r="J636" i="1"/>
  <c r="C91" i="2"/>
  <c r="C62" i="2"/>
  <c r="C63" i="2" s="1"/>
  <c r="C78" i="2"/>
  <c r="C81" i="2" s="1"/>
  <c r="J645" i="1"/>
  <c r="J640" i="1"/>
  <c r="J625" i="1"/>
  <c r="I52" i="1"/>
  <c r="H620" i="1" s="1"/>
  <c r="J620" i="1" s="1"/>
  <c r="H476" i="1"/>
  <c r="H624" i="1" s="1"/>
  <c r="J624" i="1" s="1"/>
  <c r="H52" i="1"/>
  <c r="H619" i="1" s="1"/>
  <c r="J619" i="1" s="1"/>
  <c r="J623" i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I663" i="1"/>
  <c r="H648" i="1" l="1"/>
  <c r="J648" i="1" s="1"/>
  <c r="K552" i="1"/>
  <c r="F660" i="1"/>
  <c r="F664" i="1" s="1"/>
  <c r="D31" i="13"/>
  <c r="C31" i="13" s="1"/>
  <c r="C28" i="10"/>
  <c r="D22" i="10" s="1"/>
  <c r="G664" i="1"/>
  <c r="G635" i="1"/>
  <c r="J635" i="1" s="1"/>
  <c r="L545" i="1"/>
  <c r="C145" i="2"/>
  <c r="H672" i="1"/>
  <c r="C6" i="10" s="1"/>
  <c r="C104" i="2"/>
  <c r="G51" i="2"/>
  <c r="H646" i="1"/>
  <c r="F51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10" i="10"/>
  <c r="D15" i="10"/>
  <c r="D27" i="10"/>
  <c r="D18" i="10"/>
  <c r="D17" i="10"/>
  <c r="D12" i="10"/>
  <c r="D24" i="10"/>
  <c r="D26" i="10"/>
  <c r="C30" i="10"/>
  <c r="D16" i="10"/>
  <c r="D23" i="10"/>
  <c r="D20" i="10"/>
  <c r="D25" i="10"/>
  <c r="D19" i="10"/>
  <c r="D13" i="10"/>
  <c r="D11" i="10"/>
  <c r="D21" i="10"/>
  <c r="G672" i="1"/>
  <c r="C5" i="10" s="1"/>
  <c r="G667" i="1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<sst xmlns="http://schemas.openxmlformats.org/spreadsheetml/2006/main" count="3959" uniqueCount="916">
  <si>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</si>
  <si>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</si>
  <si>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</si>
  <si>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</si>
  <si>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</si>
  <si>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</si>
  <si>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</si>
  <si>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</si>
  <si>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</si>
  <si>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</si>
  <si>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</si>
  <si>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</si>
  <si>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</si>
  <si>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</si>
  <si>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</si>
  <si>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</si>
  <si>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</si>
  <si>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</si>
  <si>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</si>
  <si>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</si>
  <si>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</si>
  <si>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</si>
  <si>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</si>
  <si>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</si>
  <si>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</si>
  <si>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</si>
  <si>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</si>
  <si>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</si>
  <si>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</si>
  <si>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</si>
  <si>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</si>
  <si>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</si>
  <si>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</si>
  <si>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</si>
  <si>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</si>
  <si>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</si>
  <si>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</si>
  <si>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</si>
  <si>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</si>
  <si>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</si>
  <si>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</si>
  <si>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</si>
  <si>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</si>
  <si>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</si>
  <si>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</si>
  <si>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</si>
  <si>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</si>
  <si>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</si>
  <si>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</si>
  <si>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</si>
  <si>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</si>
  <si>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</si>
  <si>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</si>
  <si>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</si>
  <si>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</si>
  <si>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</si>
  <si>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</si>
  <si>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</si>
  <si>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</si>
  <si>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</si>
  <si>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</si>
  <si>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</si>
  <si>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</si>
  <si>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</si>
  <si>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</si>
  <si>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</si>
  <si>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</si>
  <si>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</si>
  <si>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</si>
  <si>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</si>
  <si>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</si>
  <si>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</si>
  <si>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</si>
  <si>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</si>
  <si>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</si>
  <si>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</si>
  <si>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</si>
  <si>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</si>
  <si>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</si>
  <si>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</si>
  <si>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</si>
  <si>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</si>
  <si>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</si>
  <si>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</si>
  <si>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</si>
  <si>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</si>
  <si>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</si>
  <si>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</si>
  <si>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</si>
  <si>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</si>
  <si>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</si>
  <si>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</si>
  <si>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</si>
  <si>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</si>
  <si>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</si>
  <si>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</si>
  <si>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</si>
  <si>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</si>
  <si>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</si>
  <si>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</si>
  <si>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</si>
  <si>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</si>
  <si>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</si>
  <si>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</si>
  <si>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</si>
  <si>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</si>
  <si>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</si>
  <si>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</si>
  <si>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</si>
  <si>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</si>
  <si>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</si>
  <si>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</si>
  <si>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</si>
  <si>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</si>
  <si>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</si>
  <si>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</si>
  <si>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</si>
  <si>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</si>
  <si>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</si>
  <si>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</si>
  <si>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</si>
  <si>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</si>
  <si>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</si>
  <si>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</si>
  <si>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</si>
  <si>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</si>
  <si>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</si>
  <si>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</si>
  <si>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</si>
  <si>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</si>
  <si>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</si>
  <si>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</si>
  <si>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</si>
  <si>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</si>
  <si>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</si>
  <si>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</si>
  <si>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</si>
  <si>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</si>
  <si>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</si>
  <si>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</si>
  <si>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</si>
  <si>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</si>
  <si>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</si>
  <si>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</si>
  <si>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</si>
  <si>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</si>
  <si>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</si>
  <si>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</si>
  <si>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</si>
  <si>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</si>
  <si>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</si>
  <si>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</si>
  <si>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</si>
  <si>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</si>
  <si>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</si>
  <si>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</si>
  <si>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</si>
  <si>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</si>
  <si>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</si>
  <si>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</si>
  <si>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</si>
  <si>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</si>
  <si>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</si>
  <si>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</si>
  <si>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</si>
  <si>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</si>
  <si>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</si>
  <si>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</si>
  <si>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</si>
  <si>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</si>
  <si>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</si>
  <si>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</si>
  <si>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</si>
  <si>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</si>
  <si>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</si>
  <si>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</si>
  <si>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</si>
  <si>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</si>
  <si>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</si>
  <si>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</si>
  <si>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</si>
  <si>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</si>
  <si>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</si>
  <si>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</si>
  <si>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</si>
  <si>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</si>
  <si>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</si>
  <si>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</si>
  <si>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</si>
  <si>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</si>
  <si>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</si>
  <si>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</si>
  <si>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</si>
  <si>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</si>
  <si>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</si>
  <si>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</si>
  <si>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</si>
  <si>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</si>
  <si>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</si>
  <si>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</si>
  <si>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</si>
  <si>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</si>
  <si>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</si>
  <si>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</si>
  <si>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</si>
  <si>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</si>
  <si>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</si>
  <si>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</si>
  <si>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</si>
  <si>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</si>
  <si>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</si>
  <si>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</si>
  <si>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</si>
  <si>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</si>
  <si>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</si>
  <si>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</si>
  <si>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</si>
  <si>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</si>
  <si>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</si>
  <si>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</si>
  <si>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</si>
  <si>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</si>
  <si>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</si>
  <si>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</si>
  <si>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</si>
  <si>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</si>
  <si>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</si>
  <si>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</si>
  <si>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</si>
  <si>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</si>
  <si>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</si>
  <si>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</si>
  <si>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</si>
  <si>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</si>
  <si>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</si>
  <si>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</si>
  <si>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</si>
  <si>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</si>
  <si>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</si>
  <si>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</si>
  <si>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</si>
  <si>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</si>
  <si>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</si>
  <si>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</si>
  <si>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</si>
  <si>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</si>
  <si>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</si>
  <si>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</si>
  <si>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</si>
  <si>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</si>
  <si>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</si>
  <si>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</si>
  <si>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</si>
  <si>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</si>
  <si>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</si>
  <si>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</si>
  <si>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</si>
  <si>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</si>
  <si>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</si>
  <si>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</si>
  <si>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</si>
  <si>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</si>
  <si>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</si>
  <si>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</si>
  <si>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</si>
  <si>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</si>
  <si>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</si>
  <si>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</si>
  <si>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</si>
  <si>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</si>
  <si>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</si>
  <si>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</si>
  <si>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</si>
  <si>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</si>
  <si>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</si>
  <si>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</si>
  <si>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</si>
  <si>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</si>
  <si>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</si>
  <si>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</si>
  <si>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</si>
  <si>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</si>
  <si>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</si>
  <si>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</si>
  <si>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</si>
  <si>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</si>
  <si>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</si>
  <si>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</si>
  <si>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</si>
  <si>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</si>
  <si>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</si>
  <si>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</si>
  <si>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</si>
  <si>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</si>
  <si>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</si>
  <si>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</si>
  <si>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</si>
  <si>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</si>
  <si>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</si>
  <si>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</si>
  <si>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</si>
  <si>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</si>
  <si>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</si>
  <si>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</si>
  <si>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</si>
  <si>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</si>
  <si>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</si>
  <si>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</si>
  <si>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</si>
  <si>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</si>
  <si>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</si>
  <si>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</si>
  <si>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</si>
  <si>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</si>
  <si>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</si>
  <si>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</si>
  <si>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</si>
  <si>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</si>
  <si>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</si>
  <si>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</si>
  <si>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</si>
  <si>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</si>
  <si>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</si>
  <si>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</si>
  <si>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</si>
  <si>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</si>
  <si>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</si>
  <si>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</si>
  <si>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</si>
  <si>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</si>
  <si>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</si>
  <si>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</si>
  <si>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</si>
  <si>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</si>
  <si>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</si>
  <si>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</si>
  <si>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</si>
  <si>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</si>
  <si>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</si>
  <si>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</si>
  <si>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</si>
  <si>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</si>
  <si>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</si>
  <si>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</si>
  <si>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</si>
  <si>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</si>
  <si>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</si>
  <si>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</si>
  <si>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</si>
  <si>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</si>
  <si>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</si>
  <si>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</si>
  <si>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</si>
  <si>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</si>
  <si>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</si>
  <si>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</si>
  <si>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</si>
  <si>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</si>
  <si>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</si>
  <si>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</si>
  <si>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</si>
  <si>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</si>
  <si>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</si>
  <si>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</si>
  <si>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</si>
  <si>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</si>
  <si>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</si>
  <si>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</si>
  <si>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</si>
  <si>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</si>
  <si>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</si>
  <si>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</si>
  <si>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</si>
  <si>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</si>
  <si>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</si>
  <si>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</si>
  <si>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</si>
  <si>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</si>
  <si>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</si>
  <si>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</si>
  <si>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</si>
  <si>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</si>
  <si>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</si>
  <si>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</si>
  <si>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</si>
  <si>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</si>
  <si>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</si>
  <si>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</si>
  <si>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</si>
  <si>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</si>
  <si>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</si>
  <si>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</si>
  <si>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</si>
  <si>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</si>
  <si>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</si>
  <si>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</si>
  <si>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</si>
  <si>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</si>
  <si>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</si>
  <si>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</si>
  <si>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</si>
  <si>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</si>
  <si>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</si>
  <si>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</si>
  <si>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</si>
  <si>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</si>
  <si>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</si>
  <si>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</si>
  <si>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</si>
  <si>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</si>
  <si>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</si>
  <si>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</si>
  <si>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</si>
  <si>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</si>
  <si>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</si>
  <si>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</si>
  <si>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</si>
  <si>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</si>
  <si>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</si>
  <si>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</si>
  <si>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</si>
  <si>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</si>
  <si>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</si>
  <si>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</si>
  <si>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</si>
  <si>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</si>
  <si>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</si>
  <si>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</si>
  <si>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</si>
  <si>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</si>
  <si>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</si>
  <si>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</si>
  <si>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</si>
  <si>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</si>
  <si>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</si>
  <si>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</si>
  <si>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</si>
  <si>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</si>
  <si>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</si>
  <si>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</si>
  <si>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</si>
  <si>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</si>
  <si>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</si>
  <si>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</si>
  <si>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</si>
  <si>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</si>
  <si>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</si>
  <si>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</si>
  <si>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</si>
  <si>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</si>
  <si>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</si>
  <si>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</si>
  <si>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</si>
  <si>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</si>
  <si>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</si>
  <si>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</si>
  <si>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</si>
  <si>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</si>
  <si>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</si>
  <si>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</si>
  <si>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</si>
  <si>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</si>
  <si>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</si>
  <si>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</si>
  <si>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</si>
  <si>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</si>
  <si>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</si>
  <si>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</si>
  <si>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</si>
  <si>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</si>
  <si>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</si>
  <si>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</si>
  <si>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</si>
  <si>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</si>
  <si>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</si>
  <si>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</si>
  <si>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</si>
  <si>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</si>
  <si>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</si>
  <si>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</si>
  <si>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</si>
  <si>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</si>
  <si>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</si>
  <si>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</si>
  <si>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</si>
  <si>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</si>
  <si>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</si>
  <si>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</si>
  <si>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</si>
  <si>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</si>
  <si>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</si>
  <si>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</si>
  <si>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</si>
  <si>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</si>
  <si>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</si>
  <si>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</si>
  <si>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</si>
  <si>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</si>
  <si>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</si>
  <si>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</si>
  <si>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</si>
  <si>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</si>
  <si>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</si>
  <si>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</si>
  <si>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</si>
  <si>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</si>
  <si>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</si>
  <si>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</si>
  <si>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</si>
  <si>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</si>
  <si>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</si>
  <si>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</si>
  <si>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</si>
  <si>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</si>
  <si>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</si>
  <si>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</si>
  <si>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</si>
  <si>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</si>
  <si>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</si>
  <si>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</si>
  <si>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</si>
  <si>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</si>
  <si>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</si>
  <si>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</si>
  <si>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</si>
  <si>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</si>
  <si>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</si>
  <si>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</si>
  <si>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</si>
  <si>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</si>
  <si>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</si>
  <si>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</si>
  <si>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</si>
  <si>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</si>
  <si>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</si>
  <si>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</si>
  <si>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</si>
  <si>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</si>
  <si>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</si>
  <si>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</si>
  <si>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</si>
  <si>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</si>
  <si>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</si>
  <si>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</si>
  <si>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</si>
  <si>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</si>
  <si>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</si>
  <si>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</si>
  <si>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</si>
  <si>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</si>
  <si>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</si>
  <si>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</si>
  <si>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</si>
  <si>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</si>
  <si>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</si>
  <si>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</si>
  <si>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</si>
  <si>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</si>
  <si>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</si>
  <si>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</si>
  <si>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</si>
  <si>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</si>
  <si>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</si>
  <si>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</si>
  <si>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</si>
  <si>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</si>
  <si>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</si>
  <si>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</si>
  <si>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</si>
  <si>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</si>
  <si>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</si>
  <si>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</si>
  <si>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</si>
  <si>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</si>
  <si>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</si>
  <si>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</si>
  <si>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</si>
  <si>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</si>
  <si>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</si>
  <si>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</si>
  <si>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</si>
  <si>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</si>
  <si>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</si>
  <si>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</si>
  <si>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</si>
  <si>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</si>
  <si>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</si>
  <si>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</si>
  <si>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</si>
  <si>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</si>
  <si>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</si>
  <si>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</si>
  <si>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</si>
  <si>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</si>
  <si>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</si>
  <si>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</si>
  <si>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</si>
  <si>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</si>
  <si>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</si>
  <si>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</si>
  <si>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</si>
  <si>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</si>
  <si>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</si>
  <si>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</si>
  <si>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</si>
  <si>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</si>
  <si>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</si>
  <si>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</si>
  <si>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</si>
  <si>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</si>
  <si>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</si>
  <si>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</si>
  <si>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</si>
  <si>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</si>
  <si>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</si>
  <si>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</si>
  <si>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</si>
  <si>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</si>
  <si>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</si>
  <si>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</si>
  <si>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</si>
  <si>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</si>
  <si>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</si>
  <si>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</si>
  <si>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</si>
  <si>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</si>
  <si>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</si>
  <si>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</si>
  <si>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</si>
  <si>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</si>
  <si>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</si>
  <si>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</si>
  <si>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</si>
  <si>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</si>
  <si>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</si>
  <si>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</si>
  <si>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</si>
  <si>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</si>
  <si>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</si>
  <si>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</si>
  <si>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</si>
  <si>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</si>
  <si>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</si>
  <si>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</si>
  <si>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</si>
  <si>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</si>
  <si>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</si>
  <si>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</si>
  <si>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</si>
  <si>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</si>
  <si>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</si>
  <si>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</si>
  <si>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</si>
  <si>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</si>
  <si>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</si>
  <si>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</si>
  <si>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</si>
  <si>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</si>
  <si>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</si>
  <si>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</si>
  <si>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</si>
  <si>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</si>
  <si>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</si>
  <si>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</si>
  <si>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</si>
  <si>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</si>
  <si>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</si>
  <si>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</si>
  <si>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</si>
  <si>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</si>
  <si>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</si>
  <si>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</si>
  <si>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</si>
  <si>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</si>
  <si>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</si>
  <si>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</si>
  <si>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</si>
  <si>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</si>
  <si>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</si>
  <si>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</si>
  <si>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</si>
  <si>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</si>
  <si>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</si>
  <si>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</si>
  <si>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</si>
  <si>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</si>
  <si>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</si>
  <si>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</si>
  <si>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</si>
  <si>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</si>
  <si>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</si>
  <si>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</si>
  <si>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</si>
  <si>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</si>
  <si>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</si>
  <si>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</si>
  <si>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</si>
  <si>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</si>
  <si>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</si>
  <si>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</si>
  <si>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</si>
  <si>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</si>
  <si>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</si>
  <si>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</si>
  <si>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</si>
  <si>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</si>
  <si>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</si>
  <si>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</si>
  <si>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</si>
  <si>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</si>
  <si>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</si>
  <si>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</si>
  <si>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</si>
  <si>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</si>
  <si>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</si>
  <si>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</si>
  <si>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</si>
  <si>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</si>
  <si>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</si>
  <si>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</si>
  <si>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</si>
  <si>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</si>
  <si>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</si>
  <si>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</si>
  <si>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</si>
  <si>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</si>
  <si>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</si>
  <si>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</si>
  <si>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</si>
  <si>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</si>
  <si>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</si>
  <si>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</si>
  <si>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</si>
  <si>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</si>
  <si>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</si>
  <si>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</si>
  <si>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</si>
  <si>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</si>
  <si>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</si>
  <si>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</si>
  <si>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</si>
  <si>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</si>
  <si>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</si>
  <si>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</si>
  <si>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</si>
  <si>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</si>
  <si>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</si>
  <si>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</si>
  <si>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</si>
  <si>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</si>
  <si>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</si>
  <si>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</si>
  <si>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</si>
  <si>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</si>
  <si>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</si>
  <si>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</si>
  <si>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</si>
  <si>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</si>
  <si>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</si>
  <si>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</si>
  <si>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</si>
  <si>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</si>
  <si>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</si>
  <si>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</si>
  <si>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</si>
  <si>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</si>
  <si>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</si>
  <si>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</si>
  <si>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</si>
  <si>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</si>
  <si>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</si>
  <si>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</si>
  <si>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</si>
  <si>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</si>
  <si>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</si>
  <si>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</si>
  <si>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</si>
  <si>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</si>
  <si>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</si>
  <si>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</si>
  <si>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</si>
  <si>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</si>
  <si>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</si>
  <si>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</si>
  <si>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</si>
  <si>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</si>
  <si>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</si>
  <si>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</si>
  <si>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</si>
  <si>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</si>
  <si>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</si>
  <si>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</si>
  <si>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</si>
  <si>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</si>
  <si>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</si>
  <si>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</si>
  <si>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</si>
  <si>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</si>
  <si>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</si>
  <si>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</si>
  <si>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</si>
  <si>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</si>
  <si>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</si>
  <si>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</si>
  <si>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</si>
  <si>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</si>
  <si>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</si>
  <si>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</si>
  <si>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</si>
  <si>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</si>
  <si>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</si>
  <si>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</si>
  <si>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</si>
  <si>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</si>
  <si>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</si>
  <si>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</si>
  <si>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</si>
  <si>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</si>
  <si>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</si>
  <si>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</si>
  <si>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</si>
  <si>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</si>
  <si>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</si>
  <si>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</si>
  <si>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</si>
  <si>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</si>
  <si>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</si>
  <si>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</si>
  <si>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</si>
  <si>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</si>
  <si>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</si>
  <si>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</si>
  <si>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</si>
  <si>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</si>
  <si>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</si>
  <si>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</si>
  <si>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</si>
  <si>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</si>
  <si>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</si>
  <si>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</si>
  <si>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</si>
  <si>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</si>
  <si>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</si>
  <si>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</si>
  <si>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</si>
  <si>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</si>
  <si>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</si>
  <si>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</si>
  <si>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</si>
  <si>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</si>
  <si>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</si>
  <si>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</si>
  <si>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</si>
  <si>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</si>
  <si>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</si>
  <si>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</si>
  <si>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</si>
  <si>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</si>
  <si>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</si>
  <si>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</si>
  <si>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</si>
  <si>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</si>
  <si>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</si>
  <si>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</si>
  <si>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</si>
  <si>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</si>
  <si>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</si>
  <si>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</si>
  <si>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</si>
  <si>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</si>
  <si>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</si>
  <si>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</si>
  <si>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</si>
  <si>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</si>
  <si>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</si>
  <si>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</si>
  <si>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</si>
  <si>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</si>
  <si>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</si>
  <si>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</si>
  <si>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</si>
  <si>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</si>
  <si>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</si>
  <si>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</si>
  <si>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</si>
  <si>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</si>
  <si>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</si>
  <si>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</si>
  <si>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</si>
  <si>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</si>
  <si>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</si>
  <si>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</si>
  <si>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</si>
  <si>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</si>
  <si>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</si>
  <si>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</si>
  <si>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</si>
  <si>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</si>
  <si>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</si>
  <si>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</si>
  <si>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</si>
  <si>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</si>
  <si>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</si>
  <si>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</si>
  <si>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</si>
  <si>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</si>
  <si>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</si>
  <si>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</si>
  <si>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</si>
  <si>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</si>
  <si>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</si>
  <si>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</si>
  <si>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INTER-LAKES SCHOOL DISTRICT</t>
  </si>
  <si>
    <t>Retiree Health and Dental</t>
  </si>
  <si>
    <t>"10/15</t>
  </si>
  <si>
    <t>Honeywell Energy Efficiency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</si>
</sst>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38" fillId="0" borderId="0"/>
    <xf numFmtId="0" fontId="3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269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794987.6+2800</f>
        <v>797787.6</v>
      </c>
      <c r="G9" s="18"/>
      <c r="H9" s="18"/>
      <c r="I9" s="18">
        <f>3231.11+553726.99</f>
        <v>556958.1</v>
      </c>
      <c r="J9" s="67">
        <f>SUM(I439)</f>
        <v>657622.73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-25863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7947147.5899999999</v>
      </c>
      <c r="G12" s="18">
        <v>3660502.88</v>
      </c>
      <c r="H12" s="18">
        <f>2874137.5+376679.26+130622.18+331617.96</f>
        <v>3713056.9</v>
      </c>
      <c r="I12" s="18">
        <v>22.38</v>
      </c>
      <c r="J12" s="67">
        <f>SUM(I441)</f>
        <v>25000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24972.8-F11</f>
        <v>50835.8</v>
      </c>
      <c r="G13" s="18">
        <v>51596.3</v>
      </c>
      <c r="H13" s="18">
        <f>72067.56-99.66+3472.5</f>
        <v>75440.399999999994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7006.52+542.55</f>
        <v>7549.0700000000006</v>
      </c>
      <c r="G14" s="18">
        <v>-7224.97</v>
      </c>
      <c r="H14" s="18">
        <f>1308.24</f>
        <v>1308.24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505000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9282457.0600000005</v>
      </c>
      <c r="G19" s="41">
        <f>SUM(G9:G18)</f>
        <v>3704874.2099999995</v>
      </c>
      <c r="H19" s="41">
        <f>SUM(H9:H18)</f>
        <v>3789805.54</v>
      </c>
      <c r="I19" s="41">
        <f>SUM(I9:I18)</f>
        <v>556980.47999999998</v>
      </c>
      <c r="J19" s="41">
        <f>SUM(J9:J18)</f>
        <v>682622.73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7869963.6699999999</v>
      </c>
      <c r="G22" s="18">
        <v>3688522.47</v>
      </c>
      <c r="H22" s="18">
        <f>2932450.96+376024.29+107268.4+297962.7</f>
        <v>3713706.35</v>
      </c>
      <c r="I22" s="18">
        <v>22.38</v>
      </c>
      <c r="J22" s="67">
        <f>SUM(I448)</f>
        <v>25000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30000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271339.46999999997</v>
      </c>
      <c r="G24" s="18"/>
      <c r="H24" s="18">
        <f>11618.6+3030.95+17750</f>
        <v>32399.55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-682.95+2239.73+176.5+351.07+12724.25</f>
        <v>14808.6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555.31</f>
        <v>555.30999999999995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8186111.7399999993</v>
      </c>
      <c r="G32" s="41">
        <f>SUM(G22:G31)</f>
        <v>3688522.47</v>
      </c>
      <c r="H32" s="41">
        <f>SUM(H22:H31)</f>
        <v>3746661.21</v>
      </c>
      <c r="I32" s="41">
        <f>SUM(I22:I31)</f>
        <v>22.38</v>
      </c>
      <c r="J32" s="41">
        <f>SUM(J22:J31)</f>
        <v>25000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16351.74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356465.41-30000-1237.5</f>
        <v>325227.90999999997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43144.330000000016</v>
      </c>
      <c r="I48" s="18">
        <v>556958.1</v>
      </c>
      <c r="J48" s="13">
        <f>SUM(I459)</f>
        <v>657622.73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326333.40999999997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369784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1096345.3199999998</v>
      </c>
      <c r="G51" s="41">
        <f>SUM(G35:G50)</f>
        <v>16351.74</v>
      </c>
      <c r="H51" s="41">
        <f>SUM(H35:H50)</f>
        <v>43144.330000000016</v>
      </c>
      <c r="I51" s="41">
        <f>SUM(I35:I50)</f>
        <v>556958.1</v>
      </c>
      <c r="J51" s="41">
        <f>SUM(J35:J50)</f>
        <v>657622.73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9282457.0599999987</v>
      </c>
      <c r="G52" s="41">
        <f>G51+G32</f>
        <v>3704874.2100000004</v>
      </c>
      <c r="H52" s="41">
        <f>H51+H32</f>
        <v>3789805.54</v>
      </c>
      <c r="I52" s="41">
        <f>I51+I32</f>
        <v>556980.47999999998</v>
      </c>
      <c r="J52" s="41">
        <f>J51+J32</f>
        <v>682622.73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15305188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15305188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26624.2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26624.2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2178.15</v>
      </c>
      <c r="G96" s="18"/>
      <c r="H96" s="18"/>
      <c r="I96" s="18">
        <v>758.67</v>
      </c>
      <c r="J96" s="18">
        <f>218.69+305.61+752.48+0.12</f>
        <v>1276.8999999999999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196521.1+6550.25+757</f>
        <v>203828.35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2200.9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13290.65+22205</f>
        <v>35495.65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1500+23018.7+2500</f>
        <v>27018.7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260.45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1248.6199999999999</v>
      </c>
      <c r="G110" s="18"/>
      <c r="H110" s="18">
        <v>61697.91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41383.770000000004</v>
      </c>
      <c r="G111" s="41">
        <f>SUM(G96:G110)</f>
        <v>203828.35</v>
      </c>
      <c r="H111" s="41">
        <f>SUM(H96:H110)</f>
        <v>88716.61</v>
      </c>
      <c r="I111" s="41">
        <f>SUM(I96:I110)</f>
        <v>758.67</v>
      </c>
      <c r="J111" s="41">
        <f>SUM(J96:J110)</f>
        <v>1276.8999999999999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15373195.969999999</v>
      </c>
      <c r="G112" s="41">
        <f>G60+G111</f>
        <v>203828.35</v>
      </c>
      <c r="H112" s="41">
        <f>H60+H79+H94+H111</f>
        <v>88716.61</v>
      </c>
      <c r="I112" s="41">
        <f>I60+I111</f>
        <v>758.67</v>
      </c>
      <c r="J112" s="41">
        <f>J60+J111</f>
        <v>1276.8999999999999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248981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6188230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6437211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71716.14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29556.15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10582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6266.07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111854.29000000001</v>
      </c>
      <c r="G136" s="41">
        <f>SUM(G123:G135)</f>
        <v>6266.07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6549065.29</v>
      </c>
      <c r="G140" s="41">
        <f>G121+SUM(G136:G137)</f>
        <v>6266.07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243140.81+15724.49</f>
        <v>258865.3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3618.71+63164.49+8649.73+2632.76</f>
        <v>78065.689999999988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196395.36+31952.28</f>
        <v>228347.63999999998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174969.95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57417.68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232387.63</v>
      </c>
      <c r="G162" s="41">
        <f>SUM(G150:G161)</f>
        <v>228347.63999999998</v>
      </c>
      <c r="H162" s="41">
        <f>SUM(H150:H161)</f>
        <v>336930.99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8803.4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241191.03</v>
      </c>
      <c r="G169" s="41">
        <f>G147+G162+SUM(G163:G168)</f>
        <v>228347.63999999998</v>
      </c>
      <c r="H169" s="41">
        <f>H147+H162+SUM(H163:H168)</f>
        <v>336930.99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22163452.289999999</v>
      </c>
      <c r="G193" s="47">
        <f>G112+G140+G169+G192</f>
        <v>438442.06</v>
      </c>
      <c r="H193" s="47">
        <f>H112+H140+H169+H192</f>
        <v>425647.6</v>
      </c>
      <c r="I193" s="47">
        <f>I112+I140+I169+I192</f>
        <v>758.67</v>
      </c>
      <c r="J193" s="47">
        <f>J112+J140+J192</f>
        <v>76276.899999999994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3787149.818</v>
      </c>
      <c r="G197" s="18">
        <v>1653168.7394999999</v>
      </c>
      <c r="H197" s="18">
        <v>61475.229999999996</v>
      </c>
      <c r="I197" s="18">
        <v>82885.009999999995</v>
      </c>
      <c r="J197" s="18">
        <v>21803.67</v>
      </c>
      <c r="K197" s="18">
        <v>203</v>
      </c>
      <c r="L197" s="19">
        <f>SUM(F197:K197)</f>
        <v>5606685.4675000003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1588772.3429999999</v>
      </c>
      <c r="G198" s="18">
        <v>760944.42799999996</v>
      </c>
      <c r="H198" s="18">
        <v>182493.31599999999</v>
      </c>
      <c r="I198" s="18">
        <v>2723.9780000000001</v>
      </c>
      <c r="J198" s="18">
        <v>0</v>
      </c>
      <c r="K198" s="18">
        <v>97.5</v>
      </c>
      <c r="L198" s="19">
        <f>SUM(F198:K198)</f>
        <v>2535031.5649999999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100347</v>
      </c>
      <c r="G200" s="18">
        <v>18675.849999999999</v>
      </c>
      <c r="H200" s="18">
        <v>4367.3900000000003</v>
      </c>
      <c r="I200" s="18">
        <v>3627.3500000000004</v>
      </c>
      <c r="J200" s="18">
        <v>0</v>
      </c>
      <c r="K200" s="18">
        <v>2340</v>
      </c>
      <c r="L200" s="19">
        <f>SUM(F200:K200)</f>
        <v>129357.59000000001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586092.83400000003</v>
      </c>
      <c r="G202" s="18">
        <v>332656.58799999999</v>
      </c>
      <c r="H202" s="18">
        <v>103388.818</v>
      </c>
      <c r="I202" s="18">
        <v>5350.5694999999996</v>
      </c>
      <c r="J202" s="18">
        <v>290</v>
      </c>
      <c r="K202" s="18">
        <v>192.25</v>
      </c>
      <c r="L202" s="19">
        <f t="shared" ref="L202:L208" si="0">SUM(F202:K202)</f>
        <v>1027971.0595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355903.005</v>
      </c>
      <c r="G203" s="18">
        <v>188550.45799999998</v>
      </c>
      <c r="H203" s="18">
        <v>156896.18100000001</v>
      </c>
      <c r="I203" s="18">
        <v>74382.502999999997</v>
      </c>
      <c r="J203" s="18">
        <v>190773.51299999998</v>
      </c>
      <c r="K203" s="18">
        <v>255.45000000000002</v>
      </c>
      <c r="L203" s="19">
        <f t="shared" si="0"/>
        <v>966761.10999999987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7020</v>
      </c>
      <c r="G204" s="18">
        <v>545.09649999999999</v>
      </c>
      <c r="H204" s="18">
        <v>570501.23</v>
      </c>
      <c r="I204" s="18">
        <v>3362.7035000000005</v>
      </c>
      <c r="J204" s="18">
        <v>0</v>
      </c>
      <c r="K204" s="18">
        <v>6864.4290000000001</v>
      </c>
      <c r="L204" s="19">
        <f t="shared" si="0"/>
        <v>588293.45899999992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514363.86</v>
      </c>
      <c r="G205" s="18">
        <v>287071.01</v>
      </c>
      <c r="H205" s="18">
        <v>38585.19</v>
      </c>
      <c r="I205" s="18">
        <v>3168.09</v>
      </c>
      <c r="J205" s="18">
        <v>0</v>
      </c>
      <c r="K205" s="18">
        <v>1029</v>
      </c>
      <c r="L205" s="19">
        <f t="shared" si="0"/>
        <v>844217.15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9400.625</v>
      </c>
      <c r="G206" s="18">
        <v>741.44850000000008</v>
      </c>
      <c r="H206" s="18">
        <v>0</v>
      </c>
      <c r="I206" s="18">
        <v>253.72750000000002</v>
      </c>
      <c r="J206" s="18">
        <v>14901.9</v>
      </c>
      <c r="K206" s="18">
        <v>0</v>
      </c>
      <c r="L206" s="19">
        <f t="shared" si="0"/>
        <v>25297.701000000001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348904.05199999997</v>
      </c>
      <c r="G207" s="18">
        <v>235774.8915</v>
      </c>
      <c r="H207" s="18">
        <v>249687.79249999998</v>
      </c>
      <c r="I207" s="18">
        <v>253817.69950000002</v>
      </c>
      <c r="J207" s="18">
        <v>352341.11599999998</v>
      </c>
      <c r="K207" s="18">
        <v>178.1</v>
      </c>
      <c r="L207" s="19">
        <f t="shared" si="0"/>
        <v>1440703.6514999999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533296.48450000002</v>
      </c>
      <c r="I208" s="18"/>
      <c r="J208" s="18"/>
      <c r="K208" s="18"/>
      <c r="L208" s="19">
        <f t="shared" si="0"/>
        <v>533296.48450000002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504031.87250000006</v>
      </c>
      <c r="H209" s="18"/>
      <c r="I209" s="18"/>
      <c r="J209" s="18"/>
      <c r="K209" s="18"/>
      <c r="L209" s="19">
        <f>SUM(F209:K209)</f>
        <v>504031.87250000006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7297953.5370000005</v>
      </c>
      <c r="G211" s="41">
        <f t="shared" si="1"/>
        <v>3982160.3824999998</v>
      </c>
      <c r="H211" s="41">
        <f t="shared" si="1"/>
        <v>1900691.632</v>
      </c>
      <c r="I211" s="41">
        <f t="shared" si="1"/>
        <v>429571.63100000005</v>
      </c>
      <c r="J211" s="41">
        <f t="shared" si="1"/>
        <v>580110.19899999991</v>
      </c>
      <c r="K211" s="41">
        <f t="shared" si="1"/>
        <v>11159.729000000001</v>
      </c>
      <c r="L211" s="41">
        <f t="shared" si="1"/>
        <v>14201647.1105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1733525.0120000001</v>
      </c>
      <c r="G233" s="18">
        <v>752611.59050000005</v>
      </c>
      <c r="H233" s="18">
        <v>7349.03</v>
      </c>
      <c r="I233" s="18">
        <v>73347.16</v>
      </c>
      <c r="J233" s="18">
        <v>10547.82</v>
      </c>
      <c r="K233" s="18">
        <v>0</v>
      </c>
      <c r="L233" s="19">
        <f>SUM(F233:K233)</f>
        <v>2577380.6124999998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531046.92700000003</v>
      </c>
      <c r="G234" s="18">
        <v>177588.11199999999</v>
      </c>
      <c r="H234" s="18">
        <v>112032.85400000001</v>
      </c>
      <c r="I234" s="18">
        <v>1857.7619999999999</v>
      </c>
      <c r="J234" s="18">
        <v>77.95</v>
      </c>
      <c r="K234" s="18">
        <v>52.5</v>
      </c>
      <c r="L234" s="19">
        <f>SUM(F234:K234)</f>
        <v>822656.10499999998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96766.1</v>
      </c>
      <c r="I235" s="18"/>
      <c r="J235" s="18"/>
      <c r="K235" s="18"/>
      <c r="L235" s="19">
        <f>SUM(F235:K235)</f>
        <v>96766.1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195999.91</v>
      </c>
      <c r="G236" s="18">
        <v>35865.96</v>
      </c>
      <c r="H236" s="18">
        <v>98293.83</v>
      </c>
      <c r="I236" s="18">
        <v>14586.81</v>
      </c>
      <c r="J236" s="18">
        <v>4680.1099999999997</v>
      </c>
      <c r="K236" s="18">
        <v>14262</v>
      </c>
      <c r="L236" s="19">
        <f>SUM(F236:K236)</f>
        <v>363688.62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322013.45600000001</v>
      </c>
      <c r="G238" s="18">
        <v>196766.67199999999</v>
      </c>
      <c r="H238" s="18">
        <v>43450.982000000004</v>
      </c>
      <c r="I238" s="18">
        <v>5513.2404999999999</v>
      </c>
      <c r="J238" s="18">
        <v>0</v>
      </c>
      <c r="K238" s="18">
        <v>22.75</v>
      </c>
      <c r="L238" s="19">
        <f t="shared" ref="L238:L244" si="4">SUM(F238:K238)</f>
        <v>567767.10049999994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182888.19499999998</v>
      </c>
      <c r="G239" s="18">
        <v>98604.671999999991</v>
      </c>
      <c r="H239" s="18">
        <v>84997.758999999976</v>
      </c>
      <c r="I239" s="18">
        <v>45062.357000000004</v>
      </c>
      <c r="J239" s="18">
        <v>105448.59699999998</v>
      </c>
      <c r="K239" s="18">
        <v>731.55</v>
      </c>
      <c r="L239" s="19">
        <f t="shared" si="4"/>
        <v>517733.12999999995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3780</v>
      </c>
      <c r="G240" s="18">
        <v>293.51350000000002</v>
      </c>
      <c r="H240" s="18">
        <v>307192.96999999997</v>
      </c>
      <c r="I240" s="18">
        <v>1810.6864999999998</v>
      </c>
      <c r="J240" s="18">
        <v>0</v>
      </c>
      <c r="K240" s="18">
        <v>3696.2309999999998</v>
      </c>
      <c r="L240" s="19">
        <f t="shared" si="4"/>
        <v>316773.40099999995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271337.83</v>
      </c>
      <c r="G241" s="18">
        <v>144114.21000000002</v>
      </c>
      <c r="H241" s="18">
        <v>33823.94</v>
      </c>
      <c r="I241" s="18">
        <v>5093.9399999999996</v>
      </c>
      <c r="J241" s="18">
        <v>0</v>
      </c>
      <c r="K241" s="18">
        <v>9799</v>
      </c>
      <c r="L241" s="19">
        <f t="shared" si="4"/>
        <v>464168.92000000004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5061.875</v>
      </c>
      <c r="G242" s="18">
        <v>399.24149999999997</v>
      </c>
      <c r="H242" s="18">
        <v>0</v>
      </c>
      <c r="I242" s="18">
        <v>136.6225</v>
      </c>
      <c r="J242" s="18">
        <v>8024.1</v>
      </c>
      <c r="K242" s="18">
        <v>0</v>
      </c>
      <c r="L242" s="19">
        <f t="shared" si="4"/>
        <v>13621.839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226722.128</v>
      </c>
      <c r="G243" s="18">
        <v>144504.24849999999</v>
      </c>
      <c r="H243" s="18">
        <v>270113.04749999999</v>
      </c>
      <c r="I243" s="18">
        <v>208234.81049999999</v>
      </c>
      <c r="J243" s="18">
        <v>106724.88400000001</v>
      </c>
      <c r="K243" s="18">
        <v>95.9</v>
      </c>
      <c r="L243" s="19">
        <f t="shared" si="4"/>
        <v>956395.01850000001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364511.2255</v>
      </c>
      <c r="I244" s="18"/>
      <c r="J244" s="18"/>
      <c r="K244" s="18"/>
      <c r="L244" s="19">
        <f t="shared" si="4"/>
        <v>364511.2255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271401.77749999997</v>
      </c>
      <c r="H245" s="18"/>
      <c r="I245" s="18"/>
      <c r="J245" s="18"/>
      <c r="K245" s="18"/>
      <c r="L245" s="19">
        <f>SUM(F245:K245)</f>
        <v>271401.77749999997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3472375.3330000006</v>
      </c>
      <c r="G247" s="41">
        <f t="shared" si="5"/>
        <v>1822149.9974999996</v>
      </c>
      <c r="H247" s="41">
        <f t="shared" si="5"/>
        <v>1418531.7379999997</v>
      </c>
      <c r="I247" s="41">
        <f t="shared" si="5"/>
        <v>355643.38899999997</v>
      </c>
      <c r="J247" s="41">
        <f t="shared" si="5"/>
        <v>235503.46100000001</v>
      </c>
      <c r="K247" s="41">
        <f t="shared" si="5"/>
        <v>28659.931</v>
      </c>
      <c r="L247" s="41">
        <f t="shared" si="5"/>
        <v>7332863.8494999986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10770328.870000001</v>
      </c>
      <c r="G257" s="41">
        <f t="shared" si="8"/>
        <v>5804310.379999999</v>
      </c>
      <c r="H257" s="41">
        <f t="shared" si="8"/>
        <v>3319223.3699999996</v>
      </c>
      <c r="I257" s="41">
        <f t="shared" si="8"/>
        <v>785215.02</v>
      </c>
      <c r="J257" s="41">
        <f t="shared" si="8"/>
        <v>815613.65999999992</v>
      </c>
      <c r="K257" s="41">
        <f t="shared" si="8"/>
        <v>39819.660000000003</v>
      </c>
      <c r="L257" s="41">
        <f t="shared" si="8"/>
        <v>21534510.960000001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10770328.870000001</v>
      </c>
      <c r="G271" s="42">
        <f t="shared" si="11"/>
        <v>5804310.379999999</v>
      </c>
      <c r="H271" s="42">
        <f t="shared" si="11"/>
        <v>3319223.3699999996</v>
      </c>
      <c r="I271" s="42">
        <f t="shared" si="11"/>
        <v>785215.02</v>
      </c>
      <c r="J271" s="42">
        <f t="shared" si="11"/>
        <v>815613.65999999992</v>
      </c>
      <c r="K271" s="42">
        <f t="shared" si="11"/>
        <v>114819.66</v>
      </c>
      <c r="L271" s="42">
        <f t="shared" si="11"/>
        <v>21609510.960000001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100071.54950000001</v>
      </c>
      <c r="G276" s="18">
        <v>29753.685000000001</v>
      </c>
      <c r="H276" s="18">
        <v>11261.720000000001</v>
      </c>
      <c r="I276" s="18">
        <v>15086.471500000001</v>
      </c>
      <c r="J276" s="18">
        <v>5160.8050000000003</v>
      </c>
      <c r="K276" s="18">
        <v>0</v>
      </c>
      <c r="L276" s="19">
        <f>SUM(F276:K276)</f>
        <v>161334.231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2139.3125</v>
      </c>
      <c r="G281" s="18">
        <v>423.8845</v>
      </c>
      <c r="H281" s="18">
        <v>325</v>
      </c>
      <c r="I281" s="18">
        <v>529.529</v>
      </c>
      <c r="J281" s="18">
        <v>0</v>
      </c>
      <c r="K281" s="18">
        <v>0</v>
      </c>
      <c r="L281" s="19">
        <f t="shared" ref="L281:L287" si="12">SUM(F281:K281)</f>
        <v>3417.7260000000001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31694.129999999997</v>
      </c>
      <c r="G282" s="18">
        <v>7345.1949999999997</v>
      </c>
      <c r="H282" s="18">
        <v>39621.959000000003</v>
      </c>
      <c r="I282" s="18">
        <v>0</v>
      </c>
      <c r="J282" s="18">
        <v>11537.5</v>
      </c>
      <c r="K282" s="18">
        <v>0</v>
      </c>
      <c r="L282" s="19">
        <f t="shared" si="12"/>
        <v>90198.784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13292.922500000001</v>
      </c>
      <c r="L283" s="19">
        <f t="shared" si="12"/>
        <v>13292.922500000001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1184</v>
      </c>
      <c r="I287" s="18"/>
      <c r="J287" s="18"/>
      <c r="K287" s="18"/>
      <c r="L287" s="19">
        <f t="shared" si="12"/>
        <v>1184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133904.992</v>
      </c>
      <c r="G290" s="42">
        <f t="shared" si="13"/>
        <v>37522.764500000005</v>
      </c>
      <c r="H290" s="42">
        <f t="shared" si="13"/>
        <v>52392.679000000004</v>
      </c>
      <c r="I290" s="42">
        <f t="shared" si="13"/>
        <v>15616.000500000002</v>
      </c>
      <c r="J290" s="42">
        <f t="shared" si="13"/>
        <v>16698.305</v>
      </c>
      <c r="K290" s="42">
        <f t="shared" si="13"/>
        <v>13292.922500000001</v>
      </c>
      <c r="L290" s="41">
        <f t="shared" si="13"/>
        <v>269427.66349999997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53884.680500000002</v>
      </c>
      <c r="G314" s="18">
        <v>16021.215</v>
      </c>
      <c r="H314" s="18">
        <v>0</v>
      </c>
      <c r="I314" s="18">
        <v>5947.2384999999995</v>
      </c>
      <c r="J314" s="18">
        <v>1007.895</v>
      </c>
      <c r="K314" s="18">
        <v>0</v>
      </c>
      <c r="L314" s="19">
        <f>SUM(F314:K314)</f>
        <v>76861.028999999995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54</v>
      </c>
      <c r="G317" s="18">
        <v>4.12</v>
      </c>
      <c r="H317" s="18">
        <v>230.58</v>
      </c>
      <c r="I317" s="18">
        <v>2261.5</v>
      </c>
      <c r="J317" s="18">
        <v>0</v>
      </c>
      <c r="K317" s="18">
        <v>0</v>
      </c>
      <c r="L317" s="19">
        <f>SUM(F317:K317)</f>
        <v>2550.1999999999998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1151.9375</v>
      </c>
      <c r="G319" s="18">
        <v>228.24549999999999</v>
      </c>
      <c r="H319" s="18">
        <v>175</v>
      </c>
      <c r="I319" s="18">
        <v>285.13099999999997</v>
      </c>
      <c r="J319" s="18">
        <v>0</v>
      </c>
      <c r="K319" s="18">
        <v>0</v>
      </c>
      <c r="L319" s="19">
        <f t="shared" ref="L319:L325" si="16">SUM(F319:K319)</f>
        <v>1840.3139999999999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17066.07</v>
      </c>
      <c r="G320" s="18">
        <v>3955.1049999999996</v>
      </c>
      <c r="H320" s="18">
        <v>21334.900999999998</v>
      </c>
      <c r="I320" s="18">
        <v>0</v>
      </c>
      <c r="J320" s="18">
        <v>6212.5</v>
      </c>
      <c r="K320" s="18">
        <v>0</v>
      </c>
      <c r="L320" s="19">
        <f t="shared" si="16"/>
        <v>48568.576000000001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7157.7275000000009</v>
      </c>
      <c r="L321" s="19">
        <f t="shared" si="16"/>
        <v>7157.7275000000009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72156.687999999995</v>
      </c>
      <c r="G328" s="42">
        <f t="shared" si="17"/>
        <v>20208.6855</v>
      </c>
      <c r="H328" s="42">
        <f t="shared" si="17"/>
        <v>21740.481</v>
      </c>
      <c r="I328" s="42">
        <f t="shared" si="17"/>
        <v>8493.8694999999989</v>
      </c>
      <c r="J328" s="42">
        <f t="shared" si="17"/>
        <v>7220.3950000000004</v>
      </c>
      <c r="K328" s="42">
        <f t="shared" si="17"/>
        <v>7157.7275000000009</v>
      </c>
      <c r="L328" s="41">
        <f t="shared" si="17"/>
        <v>136977.84649999999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206061.68</v>
      </c>
      <c r="G338" s="41">
        <f t="shared" si="20"/>
        <v>57731.450000000004</v>
      </c>
      <c r="H338" s="41">
        <f t="shared" si="20"/>
        <v>74133.16</v>
      </c>
      <c r="I338" s="41">
        <f t="shared" si="20"/>
        <v>24109.870000000003</v>
      </c>
      <c r="J338" s="41">
        <f t="shared" si="20"/>
        <v>23918.7</v>
      </c>
      <c r="K338" s="41">
        <f t="shared" si="20"/>
        <v>20450.650000000001</v>
      </c>
      <c r="L338" s="41">
        <f t="shared" si="20"/>
        <v>406405.50999999995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206061.68</v>
      </c>
      <c r="G352" s="41">
        <f>G338</f>
        <v>57731.450000000004</v>
      </c>
      <c r="H352" s="41">
        <f>H338</f>
        <v>74133.16</v>
      </c>
      <c r="I352" s="41">
        <f>I338</f>
        <v>24109.870000000003</v>
      </c>
      <c r="J352" s="41">
        <f>J338</f>
        <v>23918.7</v>
      </c>
      <c r="K352" s="47">
        <f>K338+K351</f>
        <v>20450.650000000001</v>
      </c>
      <c r="L352" s="41">
        <f>L338+L351</f>
        <v>406405.50999999995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426956*0.65</f>
        <v>277521.40000000002</v>
      </c>
      <c r="I358" s="18"/>
      <c r="J358" s="18">
        <f>9925*0.65</f>
        <v>6451.25</v>
      </c>
      <c r="K358" s="18">
        <f>500.67*0.65</f>
        <v>325.43550000000005</v>
      </c>
      <c r="L358" s="13">
        <f>SUM(F358:K358)</f>
        <v>284298.08550000004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426956-H358</f>
        <v>149434.59999999998</v>
      </c>
      <c r="I360" s="18"/>
      <c r="J360" s="18">
        <f>9925-J358</f>
        <v>3473.75</v>
      </c>
      <c r="K360" s="18">
        <f>500.67-K358</f>
        <v>175.23449999999997</v>
      </c>
      <c r="L360" s="19">
        <f>SUM(F360:K360)</f>
        <v>153083.58449999997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426956</v>
      </c>
      <c r="I362" s="47">
        <f t="shared" si="22"/>
        <v>0</v>
      </c>
      <c r="J362" s="47">
        <f t="shared" si="22"/>
        <v>9925</v>
      </c>
      <c r="K362" s="47">
        <f t="shared" si="22"/>
        <v>500.67</v>
      </c>
      <c r="L362" s="47">
        <f t="shared" si="22"/>
        <v>437381.67000000004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28000</v>
      </c>
      <c r="I375" s="18"/>
      <c r="J375" s="18"/>
      <c r="K375" s="18"/>
      <c r="L375" s="13">
        <f t="shared" ref="L375:L381" si="23">SUM(F375:K375)</f>
        <v>28000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1887827</v>
      </c>
      <c r="K379" s="18"/>
      <c r="L379" s="13">
        <f t="shared" si="23"/>
        <v>1887827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28000</v>
      </c>
      <c r="I382" s="41">
        <f t="shared" si="24"/>
        <v>0</v>
      </c>
      <c r="J382" s="47">
        <f t="shared" si="24"/>
        <v>1887827</v>
      </c>
      <c r="K382" s="47">
        <f t="shared" si="24"/>
        <v>0</v>
      </c>
      <c r="L382" s="47">
        <f t="shared" si="24"/>
        <v>1915827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218.69</v>
      </c>
      <c r="I395" s="18"/>
      <c r="J395" s="24" t="s">
        <v>289</v>
      </c>
      <c r="K395" s="24" t="s">
        <v>289</v>
      </c>
      <c r="L395" s="56">
        <f t="shared" ref="L395:L400" si="26">SUM(F395:K395)</f>
        <v>218.69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75000</v>
      </c>
      <c r="H396" s="18">
        <f>752.48+0.12</f>
        <v>752.6</v>
      </c>
      <c r="I396" s="18"/>
      <c r="J396" s="24" t="s">
        <v>289</v>
      </c>
      <c r="K396" s="24" t="s">
        <v>289</v>
      </c>
      <c r="L396" s="56">
        <f t="shared" si="26"/>
        <v>75752.600000000006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305.61</v>
      </c>
      <c r="I397" s="18"/>
      <c r="J397" s="24" t="s">
        <v>289</v>
      </c>
      <c r="K397" s="24" t="s">
        <v>289</v>
      </c>
      <c r="L397" s="56">
        <f t="shared" si="26"/>
        <v>305.61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1276.9000000000001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76276.900000000009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1276.9000000000001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76276.900000000009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71202.14+150632.96+435736.66+50.97</f>
        <v>657622.73</v>
      </c>
      <c r="H439" s="18"/>
      <c r="I439" s="56">
        <f t="shared" ref="I439:I445" si="33">SUM(F439:H439)</f>
        <v>657622.73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25000</v>
      </c>
      <c r="H441" s="18"/>
      <c r="I441" s="56">
        <f t="shared" si="33"/>
        <v>25000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682622.73</v>
      </c>
      <c r="H446" s="13">
        <f>SUM(H439:H445)</f>
        <v>0</v>
      </c>
      <c r="I446" s="13">
        <f>SUM(I439:I445)</f>
        <v>682622.73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25000</v>
      </c>
      <c r="H448" s="18"/>
      <c r="I448" s="56">
        <f>SUM(F448:H448)</f>
        <v>25000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25000</v>
      </c>
      <c r="H452" s="72">
        <f>SUM(H448:H451)</f>
        <v>0</v>
      </c>
      <c r="I452" s="72">
        <f>SUM(I448:I451)</f>
        <v>25000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657622.73</v>
      </c>
      <c r="H459" s="18"/>
      <c r="I459" s="56">
        <f t="shared" si="34"/>
        <v>657622.73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657622.73</v>
      </c>
      <c r="H460" s="83">
        <f>SUM(H454:H459)</f>
        <v>0</v>
      </c>
      <c r="I460" s="83">
        <f>SUM(I454:I459)</f>
        <v>657622.73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682622.73</v>
      </c>
      <c r="H461" s="42">
        <f>H452+H460</f>
        <v>0</v>
      </c>
      <c r="I461" s="42">
        <f>I452+I460</f>
        <v>682622.73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542403.99000000209</v>
      </c>
      <c r="G465" s="18">
        <v>15291.349999999977</v>
      </c>
      <c r="H465" s="18">
        <v>23902.240000000049</v>
      </c>
      <c r="I465" s="18">
        <v>2472026.4299999997</v>
      </c>
      <c r="J465" s="18">
        <v>581345.82999999996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22163452.289999999</v>
      </c>
      <c r="G468" s="18">
        <v>438442.06</v>
      </c>
      <c r="H468" s="18">
        <f>340930.99+23018.7+61697.91</f>
        <v>425647.6</v>
      </c>
      <c r="I468" s="18">
        <v>758.67</v>
      </c>
      <c r="J468" s="18">
        <v>76276.899999999994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22163452.289999999</v>
      </c>
      <c r="G470" s="53">
        <f>SUM(G468:G469)</f>
        <v>438442.06</v>
      </c>
      <c r="H470" s="53">
        <f>SUM(H468:H469)</f>
        <v>425647.6</v>
      </c>
      <c r="I470" s="53">
        <f>SUM(I468:I469)</f>
        <v>758.67</v>
      </c>
      <c r="J470" s="53">
        <f>SUM(J468:J469)</f>
        <v>76276.899999999994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21609510.960000001</v>
      </c>
      <c r="G472" s="18">
        <v>437381.67</v>
      </c>
      <c r="H472" s="18">
        <f>339481.19+19776.32+47148</f>
        <v>406405.51</v>
      </c>
      <c r="I472" s="18">
        <v>1915827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21609510.960000001</v>
      </c>
      <c r="G474" s="53">
        <f>SUM(G472:G473)</f>
        <v>437381.67</v>
      </c>
      <c r="H474" s="53">
        <f>SUM(H472:H473)</f>
        <v>406405.51</v>
      </c>
      <c r="I474" s="53">
        <f>SUM(I472:I473)</f>
        <v>1915827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1096345.3200000003</v>
      </c>
      <c r="G476" s="53">
        <f>(G465+G470)- G474</f>
        <v>16351.739999999991</v>
      </c>
      <c r="H476" s="53">
        <f>(H465+H470)- H474</f>
        <v>43144.330000000016</v>
      </c>
      <c r="I476" s="53">
        <f>(I465+I470)- I474</f>
        <v>556958.09999999963</v>
      </c>
      <c r="J476" s="53">
        <f>(J465+J470)- J474</f>
        <v>657622.73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1588772.34</v>
      </c>
      <c r="G521" s="18">
        <v>760944.43</v>
      </c>
      <c r="H521" s="18">
        <v>182493.32</v>
      </c>
      <c r="I521" s="18">
        <v>2723.98</v>
      </c>
      <c r="J521" s="18"/>
      <c r="K521" s="18">
        <v>97.5</v>
      </c>
      <c r="L521" s="88">
        <f>SUM(F521:K521)</f>
        <v>2535031.5699999998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531046.93000000005</v>
      </c>
      <c r="G523" s="18">
        <v>177588.11</v>
      </c>
      <c r="H523" s="18">
        <v>112032.85</v>
      </c>
      <c r="I523" s="18">
        <v>1857.76</v>
      </c>
      <c r="J523" s="18">
        <v>77.95</v>
      </c>
      <c r="K523" s="18">
        <v>52.5</v>
      </c>
      <c r="L523" s="88">
        <f>SUM(F523:K523)</f>
        <v>822656.1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2119819.27</v>
      </c>
      <c r="G524" s="108">
        <f t="shared" ref="G524:L524" si="36">SUM(G521:G523)</f>
        <v>938532.54</v>
      </c>
      <c r="H524" s="108">
        <f t="shared" si="36"/>
        <v>294526.17000000004</v>
      </c>
      <c r="I524" s="108">
        <f t="shared" si="36"/>
        <v>4581.74</v>
      </c>
      <c r="J524" s="108">
        <f t="shared" si="36"/>
        <v>77.95</v>
      </c>
      <c r="K524" s="108">
        <f t="shared" si="36"/>
        <v>150</v>
      </c>
      <c r="L524" s="89">
        <f t="shared" si="36"/>
        <v>3357687.67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362524.82+855.73</f>
        <v>363380.55</v>
      </c>
      <c r="G526" s="18">
        <f>216100.44+169.55</f>
        <v>216269.99</v>
      </c>
      <c r="H526" s="18">
        <f>97885.89+130</f>
        <v>98015.89</v>
      </c>
      <c r="I526" s="18">
        <f>3369.89+211.81</f>
        <v>3581.7</v>
      </c>
      <c r="J526" s="18">
        <v>290</v>
      </c>
      <c r="K526" s="18">
        <v>76.900000000000006</v>
      </c>
      <c r="L526" s="88">
        <f>SUM(F526:K526)</f>
        <v>681615.03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197775.67+460.78</f>
        <v>198236.45</v>
      </c>
      <c r="G528" s="18">
        <f>123419.33+91.3</f>
        <v>123510.63</v>
      </c>
      <c r="H528" s="18">
        <f>33045.52+70</f>
        <v>33115.519999999997</v>
      </c>
      <c r="I528" s="18">
        <f>2778.79+114.05</f>
        <v>2892.84</v>
      </c>
      <c r="J528" s="18"/>
      <c r="K528" s="18">
        <v>9.1</v>
      </c>
      <c r="L528" s="88">
        <f>SUM(F528:K528)</f>
        <v>357764.54000000004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561617</v>
      </c>
      <c r="G529" s="89">
        <f t="shared" ref="G529:L529" si="37">SUM(G526:G528)</f>
        <v>339780.62</v>
      </c>
      <c r="H529" s="89">
        <f t="shared" si="37"/>
        <v>131131.41</v>
      </c>
      <c r="I529" s="89">
        <f t="shared" si="37"/>
        <v>6474.54</v>
      </c>
      <c r="J529" s="89">
        <f t="shared" si="37"/>
        <v>290</v>
      </c>
      <c r="K529" s="89">
        <f t="shared" si="37"/>
        <v>86</v>
      </c>
      <c r="L529" s="89">
        <f t="shared" si="37"/>
        <v>1039379.5700000001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73397.75</v>
      </c>
      <c r="I531" s="18"/>
      <c r="J531" s="18"/>
      <c r="K531" s="18"/>
      <c r="L531" s="88">
        <f>SUM(F531:K531)</f>
        <v>73397.75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39521.870000000003</v>
      </c>
      <c r="I533" s="18"/>
      <c r="J533" s="18"/>
      <c r="K533" s="18"/>
      <c r="L533" s="88">
        <f>SUM(F533:K533)</f>
        <v>39521.870000000003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112919.62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112919.62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612.95000000000005</v>
      </c>
      <c r="I536" s="18"/>
      <c r="J536" s="18"/>
      <c r="K536" s="18"/>
      <c r="L536" s="88">
        <f>SUM(F536:K536)</f>
        <v>612.95000000000005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330.05</v>
      </c>
      <c r="I538" s="18"/>
      <c r="J538" s="18"/>
      <c r="K538" s="18"/>
      <c r="L538" s="88">
        <f>SUM(F538:K538)</f>
        <v>330.05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943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943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69427.44</v>
      </c>
      <c r="I541" s="18"/>
      <c r="J541" s="18"/>
      <c r="K541" s="18"/>
      <c r="L541" s="88">
        <f>SUM(F541:K541)</f>
        <v>69427.44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47951.59</v>
      </c>
      <c r="I543" s="18"/>
      <c r="J543" s="18"/>
      <c r="K543" s="18"/>
      <c r="L543" s="88">
        <f>SUM(F543:K543)</f>
        <v>47951.59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117379.03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117379.03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2681436.27</v>
      </c>
      <c r="G545" s="89">
        <f t="shared" ref="G545:L545" si="41">G524+G529+G534+G539+G544</f>
        <v>1278313.1600000001</v>
      </c>
      <c r="H545" s="89">
        <f t="shared" si="41"/>
        <v>656899.2300000001</v>
      </c>
      <c r="I545" s="89">
        <f t="shared" si="41"/>
        <v>11056.279999999999</v>
      </c>
      <c r="J545" s="89">
        <f t="shared" si="41"/>
        <v>367.95</v>
      </c>
      <c r="K545" s="89">
        <f t="shared" si="41"/>
        <v>236</v>
      </c>
      <c r="L545" s="89">
        <f t="shared" si="41"/>
        <v>4628308.8900000006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2535031.5699999998</v>
      </c>
      <c r="G549" s="87">
        <f>L526</f>
        <v>681615.03</v>
      </c>
      <c r="H549" s="87">
        <f>L531</f>
        <v>73397.75</v>
      </c>
      <c r="I549" s="87">
        <f>L536</f>
        <v>612.95000000000005</v>
      </c>
      <c r="J549" s="87">
        <f>L541</f>
        <v>69427.44</v>
      </c>
      <c r="K549" s="87">
        <f>SUM(F549:J549)</f>
        <v>3360084.7399999998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822656.1</v>
      </c>
      <c r="G551" s="87">
        <f>L528</f>
        <v>357764.54000000004</v>
      </c>
      <c r="H551" s="87">
        <f>L533</f>
        <v>39521.870000000003</v>
      </c>
      <c r="I551" s="87">
        <f>L538</f>
        <v>330.05</v>
      </c>
      <c r="J551" s="87">
        <f>L543</f>
        <v>47951.59</v>
      </c>
      <c r="K551" s="87">
        <f>SUM(F551:J551)</f>
        <v>1268224.1500000004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3357687.67</v>
      </c>
      <c r="G552" s="89">
        <f t="shared" si="42"/>
        <v>1039379.5700000001</v>
      </c>
      <c r="H552" s="89">
        <f t="shared" si="42"/>
        <v>112919.62</v>
      </c>
      <c r="I552" s="89">
        <f t="shared" si="42"/>
        <v>943</v>
      </c>
      <c r="J552" s="89">
        <f t="shared" si="42"/>
        <v>117379.03</v>
      </c>
      <c r="K552" s="89">
        <f t="shared" si="42"/>
        <v>4628308.8900000006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20541.32*0.65</f>
        <v>13351.858</v>
      </c>
      <c r="G562" s="18">
        <f>5951.53*0.65</f>
        <v>3868.4944999999998</v>
      </c>
      <c r="H562" s="18"/>
      <c r="I562" s="18">
        <f>1050*0.65</f>
        <v>682.5</v>
      </c>
      <c r="J562" s="18"/>
      <c r="K562" s="18"/>
      <c r="L562" s="88">
        <f>SUM(F562:K562)</f>
        <v>17902.852500000001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20541.32-F562</f>
        <v>7189.4619999999995</v>
      </c>
      <c r="G564" s="18">
        <f>5951.53-G562</f>
        <v>2083.0355</v>
      </c>
      <c r="H564" s="18"/>
      <c r="I564" s="18">
        <f>1050-I562</f>
        <v>367.5</v>
      </c>
      <c r="J564" s="18"/>
      <c r="K564" s="18"/>
      <c r="L564" s="88">
        <f>SUM(F564:K564)</f>
        <v>9639.9974999999995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20541.32</v>
      </c>
      <c r="G565" s="89">
        <f t="shared" si="44"/>
        <v>5951.53</v>
      </c>
      <c r="H565" s="89">
        <f t="shared" si="44"/>
        <v>0</v>
      </c>
      <c r="I565" s="89">
        <f t="shared" si="44"/>
        <v>1050</v>
      </c>
      <c r="J565" s="89">
        <f t="shared" si="44"/>
        <v>0</v>
      </c>
      <c r="K565" s="89">
        <f t="shared" si="44"/>
        <v>0</v>
      </c>
      <c r="L565" s="89">
        <f t="shared" si="44"/>
        <v>27542.85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20541.32</v>
      </c>
      <c r="G571" s="89">
        <f t="shared" ref="G571:L571" si="46">G560+G565+G570</f>
        <v>5951.53</v>
      </c>
      <c r="H571" s="89">
        <f t="shared" si="46"/>
        <v>0</v>
      </c>
      <c r="I571" s="89">
        <f t="shared" si="46"/>
        <v>1050</v>
      </c>
      <c r="J571" s="89">
        <f t="shared" si="46"/>
        <v>0</v>
      </c>
      <c r="K571" s="89">
        <f t="shared" si="46"/>
        <v>0</v>
      </c>
      <c r="L571" s="89">
        <f t="shared" si="46"/>
        <v>27542.85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45050.85</v>
      </c>
      <c r="I579" s="87">
        <f t="shared" si="47"/>
        <v>45050.85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103721.11</f>
        <v>103721.11</v>
      </c>
      <c r="G582" s="18"/>
      <c r="H582" s="18">
        <v>24592.86</v>
      </c>
      <c r="I582" s="87">
        <f t="shared" si="47"/>
        <v>128313.97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96766.1</v>
      </c>
      <c r="I584" s="87">
        <f t="shared" si="47"/>
        <v>96766.1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630203.65*0.65</f>
        <v>409632.37250000006</v>
      </c>
      <c r="I591" s="18"/>
      <c r="J591" s="18">
        <f>630203.65-H591</f>
        <v>220571.27749999997</v>
      </c>
      <c r="K591" s="104">
        <f t="shared" ref="K591:K597" si="48">SUM(H591:J591)</f>
        <v>630203.65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34713.72+34713.72</f>
        <v>69427.44</v>
      </c>
      <c r="I592" s="18"/>
      <c r="J592" s="18">
        <v>47951.59</v>
      </c>
      <c r="K592" s="104">
        <f t="shared" si="48"/>
        <v>117379.03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22108.77</v>
      </c>
      <c r="K593" s="104">
        <f t="shared" si="48"/>
        <v>22108.77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59475.41</v>
      </c>
      <c r="K594" s="104">
        <f t="shared" si="48"/>
        <v>59475.41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8666.09+23841.42-1184</f>
        <v>31323.51</v>
      </c>
      <c r="I595" s="18"/>
      <c r="J595" s="18">
        <v>4060.74</v>
      </c>
      <c r="K595" s="104">
        <f t="shared" si="48"/>
        <v>35384.25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(29552.68*0.65)+3703.92</f>
        <v>22913.162000000004</v>
      </c>
      <c r="I597" s="18"/>
      <c r="J597" s="18">
        <f>29552.68-(29552.68*0.65)</f>
        <v>10343.437999999998</v>
      </c>
      <c r="K597" s="104">
        <f t="shared" si="48"/>
        <v>33256.600000000006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533296.48450000002</v>
      </c>
      <c r="I598" s="108">
        <f>SUM(I591:I597)</f>
        <v>0</v>
      </c>
      <c r="J598" s="108">
        <f>SUM(J591:J597)</f>
        <v>364511.2255</v>
      </c>
      <c r="K598" s="108">
        <f>SUM(K591:K597)</f>
        <v>897807.71000000008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363933.63+10267.71+(0.65*342472.56)</f>
        <v>596808.50400000007</v>
      </c>
      <c r="I604" s="18"/>
      <c r="J604" s="18">
        <f>122858.46+(342472.56*0.35)</f>
        <v>242723.856</v>
      </c>
      <c r="K604" s="104">
        <f>SUM(H604:J604)</f>
        <v>839532.3600000001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596808.50400000007</v>
      </c>
      <c r="I605" s="108">
        <f>SUM(I602:I604)</f>
        <v>0</v>
      </c>
      <c r="J605" s="108">
        <f>SUM(J602:J604)</f>
        <v>242723.856</v>
      </c>
      <c r="K605" s="108">
        <f>SUM(K602:K604)</f>
        <v>839532.3600000001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17140+3776</f>
        <v>20916</v>
      </c>
      <c r="G611" s="18">
        <f>1580.63+343.14+2038.66+24.03</f>
        <v>3986.4600000000005</v>
      </c>
      <c r="H611" s="18">
        <v>3703.92</v>
      </c>
      <c r="I611" s="18">
        <v>363.78</v>
      </c>
      <c r="J611" s="18"/>
      <c r="K611" s="18"/>
      <c r="L611" s="88">
        <f>SUM(F611:K611)</f>
        <v>28970.159999999996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20916</v>
      </c>
      <c r="G614" s="108">
        <f t="shared" si="49"/>
        <v>3986.4600000000005</v>
      </c>
      <c r="H614" s="108">
        <f t="shared" si="49"/>
        <v>3703.92</v>
      </c>
      <c r="I614" s="108">
        <f t="shared" si="49"/>
        <v>363.78</v>
      </c>
      <c r="J614" s="108">
        <f t="shared" si="49"/>
        <v>0</v>
      </c>
      <c r="K614" s="108">
        <f t="shared" si="49"/>
        <v>0</v>
      </c>
      <c r="L614" s="89">
        <f t="shared" si="49"/>
        <v>28970.159999999996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9282457.0600000005</v>
      </c>
      <c r="H617" s="109">
        <f>SUM(F52)</f>
        <v>9282457.0599999987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3704874.2099999995</v>
      </c>
      <c r="H618" s="109">
        <f>SUM(G52)</f>
        <v>3704874.2100000004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3789805.54</v>
      </c>
      <c r="H619" s="109">
        <f>SUM(H52)</f>
        <v>3789805.54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556980.47999999998</v>
      </c>
      <c r="H620" s="109">
        <f>SUM(I52)</f>
        <v>556980.47999999998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682622.73</v>
      </c>
      <c r="H621" s="109">
        <f>SUM(J52)</f>
        <v>682622.73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1096345.3199999998</v>
      </c>
      <c r="H622" s="109">
        <f>F476</f>
        <v>1096345.3200000003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16351.74</v>
      </c>
      <c r="H623" s="109">
        <f>G476</f>
        <v>16351.739999999991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43144.330000000016</v>
      </c>
      <c r="H624" s="109">
        <f>H476</f>
        <v>43144.330000000016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556958.1</v>
      </c>
      <c r="H625" s="109">
        <f>I476</f>
        <v>556958.09999999963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657622.73</v>
      </c>
      <c r="H626" s="109">
        <f>J476</f>
        <v>657622.73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22163452.289999999</v>
      </c>
      <c r="H627" s="104">
        <f>SUM(F468)</f>
        <v>22163452.289999999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438442.06</v>
      </c>
      <c r="H628" s="104">
        <f>SUM(G468)</f>
        <v>438442.06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425647.6</v>
      </c>
      <c r="H629" s="104">
        <f>SUM(H468)</f>
        <v>425647.6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758.67</v>
      </c>
      <c r="H630" s="104">
        <f>SUM(I468)</f>
        <v>758.67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76276.899999999994</v>
      </c>
      <c r="H631" s="104">
        <f>SUM(J468)</f>
        <v>76276.899999999994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21609510.960000001</v>
      </c>
      <c r="H632" s="104">
        <f>SUM(F472)</f>
        <v>21609510.960000001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406405.50999999995</v>
      </c>
      <c r="H633" s="104">
        <f>SUM(H472)</f>
        <v>406405.51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437381.67000000004</v>
      </c>
      <c r="H635" s="104">
        <f>SUM(G472)</f>
        <v>437381.67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1915827</v>
      </c>
      <c r="H636" s="104">
        <f>SUM(I472)</f>
        <v>1915827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76276.900000000009</v>
      </c>
      <c r="H637" s="164">
        <f>SUM(J468)</f>
        <v>76276.899999999994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682622.73</v>
      </c>
      <c r="H640" s="104">
        <f>SUM(G461)</f>
        <v>682622.73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682622.73</v>
      </c>
      <c r="H642" s="104">
        <f>SUM(I461)</f>
        <v>682622.73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1276.8999999999999</v>
      </c>
      <c r="H644" s="104">
        <f>H408</f>
        <v>1276.9000000000001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76276.899999999994</v>
      </c>
      <c r="H646" s="104">
        <f>L408</f>
        <v>76276.900000000009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897807.71000000008</v>
      </c>
      <c r="H647" s="104">
        <f>L208+L226+L244</f>
        <v>897807.71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839532.3600000001</v>
      </c>
      <c r="H648" s="104">
        <f>(J257+J338)-(J255+J336)</f>
        <v>839532.35999999987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533296.48450000002</v>
      </c>
      <c r="H649" s="104">
        <f>H598</f>
        <v>533296.48450000002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364511.2255</v>
      </c>
      <c r="H651" s="104">
        <f>J598</f>
        <v>364511.2255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14755372.8595</v>
      </c>
      <c r="G660" s="19">
        <f>(L229+L309+L359)</f>
        <v>0</v>
      </c>
      <c r="H660" s="19">
        <f>(L247+L328+L360)</f>
        <v>7622925.2804999985</v>
      </c>
      <c r="I660" s="19">
        <f>SUM(F660:H660)</f>
        <v>22378298.140000001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132488.42750000002</v>
      </c>
      <c r="G661" s="19">
        <f>(L359/IF(SUM(L358:L360)=0,1,SUM(L358:L360))*(SUM(G97:G110)))</f>
        <v>0</v>
      </c>
      <c r="H661" s="19">
        <f>(L360/IF(SUM(L358:L360)=0,1,SUM(L358:L360))*(SUM(G97:G110)))</f>
        <v>71339.922499999971</v>
      </c>
      <c r="I661" s="19">
        <f>SUM(F661:H661)</f>
        <v>203828.34999999998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534480.48450000002</v>
      </c>
      <c r="G662" s="19">
        <f>(L226+L306)-(J226+J306)</f>
        <v>0</v>
      </c>
      <c r="H662" s="19">
        <f>(L244+L325)-(J244+J325)</f>
        <v>364511.2255</v>
      </c>
      <c r="I662" s="19">
        <f>SUM(F662:H662)</f>
        <v>898991.71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729499.77400000009</v>
      </c>
      <c r="G663" s="199">
        <f>SUM(G575:G587)+SUM(I602:I604)+L612</f>
        <v>0</v>
      </c>
      <c r="H663" s="199">
        <f>SUM(H575:H587)+SUM(J602:J604)+L613</f>
        <v>409133.66599999997</v>
      </c>
      <c r="I663" s="19">
        <f>SUM(F663:H663)</f>
        <v>1138633.44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13358904.1735</v>
      </c>
      <c r="G664" s="19">
        <f>G660-SUM(G661:G663)</f>
        <v>0</v>
      </c>
      <c r="H664" s="19">
        <f>H660-SUM(H661:H663)</f>
        <v>6777940.4664999982</v>
      </c>
      <c r="I664" s="19">
        <f>I660-SUM(I661:I663)</f>
        <v>20136844.640000001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327.25+302.16+71.28</f>
        <v>700.69</v>
      </c>
      <c r="G665" s="248"/>
      <c r="H665" s="248">
        <v>321.14</v>
      </c>
      <c r="I665" s="19">
        <f>SUM(F665:H665)</f>
        <v>1021.83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19065.36</v>
      </c>
      <c r="G667" s="19" t="e">
        <f>ROUND(G664/G665,2)</f>
        <v>#DIV/0!</v>
      </c>
      <c r="H667" s="19">
        <f>ROUND(H664/H665,2)</f>
        <v>21105.87</v>
      </c>
      <c r="I667" s="19">
        <f>ROUND(I664/I665,2)</f>
        <v>19706.650000000001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-12.39</v>
      </c>
      <c r="I670" s="19">
        <f>SUM(F670:H670)</f>
        <v>-12.39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19065.36</v>
      </c>
      <c r="G672" s="19" t="e">
        <f>ROUND((G664+G669)/(G665+G670),2)</f>
        <v>#DIV/0!</v>
      </c>
      <c r="H672" s="19">
        <f>ROUND((H664+H669)/(H665+H670),2)</f>
        <v>21952.84</v>
      </c>
      <c r="I672" s="19">
        <f>ROUND((I664+I669)/(I665+I670),2)</f>
        <v>19948.53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28" sqref="F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INTER-LAKES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5674631.0599999996</v>
      </c>
      <c r="C9" s="229">
        <f>'DOE25'!G197+'DOE25'!G215+'DOE25'!G233+'DOE25'!G276+'DOE25'!G295+'DOE25'!G314</f>
        <v>2451555.23</v>
      </c>
    </row>
    <row r="10" spans="1:3" x14ac:dyDescent="0.2">
      <c r="A10" t="s">
        <v>779</v>
      </c>
      <c r="B10" s="240">
        <v>5240590.28</v>
      </c>
      <c r="C10" s="240">
        <v>2322293.08</v>
      </c>
    </row>
    <row r="11" spans="1:3" x14ac:dyDescent="0.2">
      <c r="A11" t="s">
        <v>780</v>
      </c>
      <c r="B11" s="240">
        <v>174020.74</v>
      </c>
      <c r="C11" s="240">
        <v>62432.09</v>
      </c>
    </row>
    <row r="12" spans="1:3" x14ac:dyDescent="0.2">
      <c r="A12" t="s">
        <v>781</v>
      </c>
      <c r="B12" s="240">
        <v>260020.04</v>
      </c>
      <c r="C12" s="240">
        <v>66830.06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5674631.0600000005</v>
      </c>
      <c r="C13" s="231">
        <f>SUM(C10:C12)</f>
        <v>2451555.23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2119819.27</v>
      </c>
      <c r="C18" s="229">
        <f>'DOE25'!G198+'DOE25'!G216+'DOE25'!G234+'DOE25'!G277+'DOE25'!G296+'DOE25'!G315</f>
        <v>938532.53999999992</v>
      </c>
    </row>
    <row r="19" spans="1:3" x14ac:dyDescent="0.2">
      <c r="A19" t="s">
        <v>779</v>
      </c>
      <c r="B19" s="240">
        <v>983336.72</v>
      </c>
      <c r="C19" s="240">
        <v>435800.88</v>
      </c>
    </row>
    <row r="20" spans="1:3" x14ac:dyDescent="0.2">
      <c r="A20" t="s">
        <v>780</v>
      </c>
      <c r="B20" s="240">
        <v>1100316.28</v>
      </c>
      <c r="C20" s="240">
        <v>499576.12</v>
      </c>
    </row>
    <row r="21" spans="1:3" x14ac:dyDescent="0.2">
      <c r="A21" t="s">
        <v>781</v>
      </c>
      <c r="B21" s="240">
        <v>36166.269999999997</v>
      </c>
      <c r="C21" s="240">
        <v>3155.54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2119819.27</v>
      </c>
      <c r="C22" s="231">
        <f>SUM(C19:C21)</f>
        <v>938532.54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296400.91000000003</v>
      </c>
      <c r="C36" s="235">
        <f>'DOE25'!G200+'DOE25'!G218+'DOE25'!G236+'DOE25'!G279+'DOE25'!G298+'DOE25'!G317</f>
        <v>54545.93</v>
      </c>
    </row>
    <row r="37" spans="1:3" x14ac:dyDescent="0.2">
      <c r="A37" t="s">
        <v>779</v>
      </c>
      <c r="B37" s="240">
        <v>17140</v>
      </c>
      <c r="C37" s="240">
        <v>3350.12</v>
      </c>
    </row>
    <row r="38" spans="1:3" x14ac:dyDescent="0.2">
      <c r="A38" t="s">
        <v>780</v>
      </c>
      <c r="B38" s="240">
        <v>3776</v>
      </c>
      <c r="C38" s="240">
        <v>636.34</v>
      </c>
    </row>
    <row r="39" spans="1:3" x14ac:dyDescent="0.2">
      <c r="A39" t="s">
        <v>781</v>
      </c>
      <c r="B39" s="240">
        <v>275484.90999999997</v>
      </c>
      <c r="C39" s="240">
        <v>50559.47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296400.90999999997</v>
      </c>
      <c r="C40" s="231">
        <f>SUM(C37:C39)</f>
        <v>54545.93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INTER-LAKES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12131566.060000001</v>
      </c>
      <c r="D5" s="20">
        <f>SUM('DOE25'!L197:L200)+SUM('DOE25'!L215:L218)+SUM('DOE25'!L233:L236)-F5-G5</f>
        <v>12077501.51</v>
      </c>
      <c r="E5" s="243"/>
      <c r="F5" s="255">
        <f>SUM('DOE25'!J197:J200)+SUM('DOE25'!J215:J218)+SUM('DOE25'!J233:J236)</f>
        <v>37109.550000000003</v>
      </c>
      <c r="G5" s="53">
        <f>SUM('DOE25'!K197:K200)+SUM('DOE25'!K215:K218)+SUM('DOE25'!K233:K236)</f>
        <v>16955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1595738.16</v>
      </c>
      <c r="D6" s="20">
        <f>'DOE25'!L202+'DOE25'!L220+'DOE25'!L238-F6-G6</f>
        <v>1595233.16</v>
      </c>
      <c r="E6" s="243"/>
      <c r="F6" s="255">
        <f>'DOE25'!J202+'DOE25'!J220+'DOE25'!J238</f>
        <v>290</v>
      </c>
      <c r="G6" s="53">
        <f>'DOE25'!K202+'DOE25'!K220+'DOE25'!K238</f>
        <v>215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1484494.2399999998</v>
      </c>
      <c r="D7" s="20">
        <f>'DOE25'!L203+'DOE25'!L221+'DOE25'!L239-F7-G7</f>
        <v>1187285.1299999999</v>
      </c>
      <c r="E7" s="243"/>
      <c r="F7" s="255">
        <f>'DOE25'!J203+'DOE25'!J221+'DOE25'!J239</f>
        <v>296222.11</v>
      </c>
      <c r="G7" s="53">
        <f>'DOE25'!K203+'DOE25'!K221+'DOE25'!K239</f>
        <v>987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444539.19999999984</v>
      </c>
      <c r="D8" s="243"/>
      <c r="E8" s="20">
        <f>'DOE25'!L204+'DOE25'!L222+'DOE25'!L240-F8-G8-D9-D11</f>
        <v>433978.53999999986</v>
      </c>
      <c r="F8" s="255">
        <f>'DOE25'!J204+'DOE25'!J222+'DOE25'!J240</f>
        <v>0</v>
      </c>
      <c r="G8" s="53">
        <f>'DOE25'!K204+'DOE25'!K222+'DOE25'!K240</f>
        <v>10560.66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99017.48</v>
      </c>
      <c r="D9" s="244">
        <v>99017.48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22000</v>
      </c>
      <c r="D10" s="243"/>
      <c r="E10" s="244">
        <v>22000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361510.18</v>
      </c>
      <c r="D11" s="244">
        <v>361510.18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1308386.07</v>
      </c>
      <c r="D12" s="20">
        <f>'DOE25'!L205+'DOE25'!L223+'DOE25'!L241-F12-G12</f>
        <v>1297558.07</v>
      </c>
      <c r="E12" s="243"/>
      <c r="F12" s="255">
        <f>'DOE25'!J205+'DOE25'!J223+'DOE25'!J241</f>
        <v>0</v>
      </c>
      <c r="G12" s="53">
        <f>'DOE25'!K205+'DOE25'!K223+'DOE25'!K241</f>
        <v>10828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38919.54</v>
      </c>
      <c r="D13" s="243"/>
      <c r="E13" s="20">
        <f>'DOE25'!L206+'DOE25'!L224+'DOE25'!L242-F13-G13</f>
        <v>15993.54</v>
      </c>
      <c r="F13" s="255">
        <f>'DOE25'!J206+'DOE25'!J224+'DOE25'!J242</f>
        <v>22926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2397098.67</v>
      </c>
      <c r="D14" s="20">
        <f>'DOE25'!L207+'DOE25'!L225+'DOE25'!L243-F14-G14</f>
        <v>1937758.67</v>
      </c>
      <c r="E14" s="243"/>
      <c r="F14" s="255">
        <f>'DOE25'!J207+'DOE25'!J225+'DOE25'!J243</f>
        <v>459066</v>
      </c>
      <c r="G14" s="53">
        <f>'DOE25'!K207+'DOE25'!K225+'DOE25'!K243</f>
        <v>274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897807.71</v>
      </c>
      <c r="D15" s="20">
        <f>'DOE25'!L208+'DOE25'!L226+'DOE25'!L244-F15-G15</f>
        <v>897807.71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775433.65</v>
      </c>
      <c r="D16" s="243"/>
      <c r="E16" s="20">
        <f>'DOE25'!L209+'DOE25'!L227+'DOE25'!L245-F16-G16</f>
        <v>775433.65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437381.67000000004</v>
      </c>
      <c r="D29" s="20">
        <f>'DOE25'!L358+'DOE25'!L359+'DOE25'!L360-'DOE25'!I367-F29-G29</f>
        <v>426956.00000000006</v>
      </c>
      <c r="E29" s="243"/>
      <c r="F29" s="255">
        <f>'DOE25'!J358+'DOE25'!J359+'DOE25'!J360</f>
        <v>9925</v>
      </c>
      <c r="G29" s="53">
        <f>'DOE25'!K358+'DOE25'!K359+'DOE25'!K360</f>
        <v>500.67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406405.50999999995</v>
      </c>
      <c r="D31" s="20">
        <f>'DOE25'!L290+'DOE25'!L309+'DOE25'!L328+'DOE25'!L333+'DOE25'!L334+'DOE25'!L335-F31-G31</f>
        <v>362036.15999999992</v>
      </c>
      <c r="E31" s="243"/>
      <c r="F31" s="255">
        <f>'DOE25'!J290+'DOE25'!J309+'DOE25'!J328+'DOE25'!J333+'DOE25'!J334+'DOE25'!J335</f>
        <v>23918.7</v>
      </c>
      <c r="G31" s="53">
        <f>'DOE25'!K290+'DOE25'!K309+'DOE25'!K328+'DOE25'!K333+'DOE25'!K334+'DOE25'!K335</f>
        <v>20450.650000000001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20242664.070000004</v>
      </c>
      <c r="E33" s="246">
        <f>SUM(E5:E31)</f>
        <v>1247405.73</v>
      </c>
      <c r="F33" s="246">
        <f>SUM(F5:F31)</f>
        <v>849457.35999999987</v>
      </c>
      <c r="G33" s="246">
        <f>SUM(G5:G31)</f>
        <v>60770.98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1247405.73</v>
      </c>
      <c r="E35" s="249"/>
    </row>
    <row r="36" spans="2:8" ht="12" thickTop="1" x14ac:dyDescent="0.2">
      <c r="B36" t="s">
        <v>815</v>
      </c>
      <c r="D36" s="20">
        <f>D33</f>
        <v>20242664.070000004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797787.6</v>
      </c>
      <c r="D8" s="95">
        <f>'DOE25'!G9</f>
        <v>0</v>
      </c>
      <c r="E8" s="95">
        <f>'DOE25'!H9</f>
        <v>0</v>
      </c>
      <c r="F8" s="95">
        <f>'DOE25'!I9</f>
        <v>556958.1</v>
      </c>
      <c r="G8" s="95">
        <f>'DOE25'!J9</f>
        <v>657622.73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-25863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7947147.5899999999</v>
      </c>
      <c r="D11" s="95">
        <f>'DOE25'!G12</f>
        <v>3660502.88</v>
      </c>
      <c r="E11" s="95">
        <f>'DOE25'!H12</f>
        <v>3713056.9</v>
      </c>
      <c r="F11" s="95">
        <f>'DOE25'!I12</f>
        <v>22.38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50835.8</v>
      </c>
      <c r="D12" s="95">
        <f>'DOE25'!G13</f>
        <v>51596.3</v>
      </c>
      <c r="E12" s="95">
        <f>'DOE25'!H13</f>
        <v>75440.399999999994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7549.0700000000006</v>
      </c>
      <c r="D13" s="95">
        <f>'DOE25'!G14</f>
        <v>-7224.97</v>
      </c>
      <c r="E13" s="95">
        <f>'DOE25'!H14</f>
        <v>1308.24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505000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9282457.0600000005</v>
      </c>
      <c r="D18" s="41">
        <f>SUM(D8:D17)</f>
        <v>3704874.2099999995</v>
      </c>
      <c r="E18" s="41">
        <f>SUM(E8:E17)</f>
        <v>3789805.54</v>
      </c>
      <c r="F18" s="41">
        <f>SUM(F8:F17)</f>
        <v>556980.47999999998</v>
      </c>
      <c r="G18" s="41">
        <f>SUM(G8:G17)</f>
        <v>682622.73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7869963.6699999999</v>
      </c>
      <c r="D21" s="95">
        <f>'DOE25'!G22</f>
        <v>3688522.47</v>
      </c>
      <c r="E21" s="95">
        <f>'DOE25'!H22</f>
        <v>3713706.35</v>
      </c>
      <c r="F21" s="95">
        <f>'DOE25'!I22</f>
        <v>22.38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271339.46999999997</v>
      </c>
      <c r="D23" s="95">
        <f>'DOE25'!G24</f>
        <v>0</v>
      </c>
      <c r="E23" s="95">
        <f>'DOE25'!H24</f>
        <v>32399.55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14808.6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555.30999999999995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8186111.7399999993</v>
      </c>
      <c r="D31" s="41">
        <f>SUM(D21:D30)</f>
        <v>3688522.47</v>
      </c>
      <c r="E31" s="41">
        <f>SUM(E21:E30)</f>
        <v>3746661.21</v>
      </c>
      <c r="F31" s="41">
        <f>SUM(F21:F30)</f>
        <v>22.38</v>
      </c>
      <c r="G31" s="41">
        <f>SUM(G21:G30)</f>
        <v>25000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16351.74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325227.90999999997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43144.330000000016</v>
      </c>
      <c r="F47" s="95">
        <f>'DOE25'!I48</f>
        <v>556958.1</v>
      </c>
      <c r="G47" s="95">
        <f>'DOE25'!J48</f>
        <v>657622.73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326333.40999999997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369784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1096345.3199999998</v>
      </c>
      <c r="D50" s="41">
        <f>SUM(D34:D49)</f>
        <v>16351.74</v>
      </c>
      <c r="E50" s="41">
        <f>SUM(E34:E49)</f>
        <v>43144.330000000016</v>
      </c>
      <c r="F50" s="41">
        <f>SUM(F34:F49)</f>
        <v>556958.1</v>
      </c>
      <c r="G50" s="41">
        <f>SUM(G34:G49)</f>
        <v>657622.73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9282457.0599999987</v>
      </c>
      <c r="D51" s="41">
        <f>D50+D31</f>
        <v>3704874.2100000004</v>
      </c>
      <c r="E51" s="41">
        <f>E50+E31</f>
        <v>3789805.54</v>
      </c>
      <c r="F51" s="41">
        <f>F50+F31</f>
        <v>556980.47999999998</v>
      </c>
      <c r="G51" s="41">
        <f>G50+G31</f>
        <v>682622.73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15305188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26624.2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2178.15</v>
      </c>
      <c r="D59" s="95">
        <f>'DOE25'!G96</f>
        <v>0</v>
      </c>
      <c r="E59" s="95">
        <f>'DOE25'!H96</f>
        <v>0</v>
      </c>
      <c r="F59" s="95">
        <f>'DOE25'!I96</f>
        <v>758.67</v>
      </c>
      <c r="G59" s="95">
        <f>'DOE25'!J96</f>
        <v>1276.8999999999999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203828.35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39205.620000000003</v>
      </c>
      <c r="D61" s="95">
        <f>SUM('DOE25'!G98:G110)</f>
        <v>0</v>
      </c>
      <c r="E61" s="95">
        <f>SUM('DOE25'!H98:H110)</f>
        <v>88716.61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68007.97</v>
      </c>
      <c r="D62" s="130">
        <f>SUM(D57:D61)</f>
        <v>203828.35</v>
      </c>
      <c r="E62" s="130">
        <f>SUM(E57:E61)</f>
        <v>88716.61</v>
      </c>
      <c r="F62" s="130">
        <f>SUM(F57:F61)</f>
        <v>758.67</v>
      </c>
      <c r="G62" s="130">
        <f>SUM(G57:G61)</f>
        <v>1276.8999999999999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15373195.970000001</v>
      </c>
      <c r="D63" s="22">
        <f>D56+D62</f>
        <v>203828.35</v>
      </c>
      <c r="E63" s="22">
        <f>E56+E62</f>
        <v>88716.61</v>
      </c>
      <c r="F63" s="22">
        <f>F56+F62</f>
        <v>758.67</v>
      </c>
      <c r="G63" s="22">
        <f>G56+G62</f>
        <v>1276.8999999999999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248981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6188230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6437211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71716.14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29556.15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10582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6266.07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111854.29000000001</v>
      </c>
      <c r="D78" s="130">
        <f>SUM(D72:D77)</f>
        <v>6266.07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6549065.29</v>
      </c>
      <c r="D81" s="130">
        <f>SUM(D79:D80)+D78+D70</f>
        <v>6266.07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232387.63</v>
      </c>
      <c r="D88" s="95">
        <f>SUM('DOE25'!G153:G161)</f>
        <v>228347.63999999998</v>
      </c>
      <c r="E88" s="95">
        <f>SUM('DOE25'!H153:H161)</f>
        <v>336930.99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8803.4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241191.03</v>
      </c>
      <c r="D91" s="131">
        <f>SUM(D85:D90)</f>
        <v>228347.63999999998</v>
      </c>
      <c r="E91" s="131">
        <f>SUM(E85:E90)</f>
        <v>336930.99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22163452.290000003</v>
      </c>
      <c r="D104" s="86">
        <f>D63+D81+D91+D103</f>
        <v>438442.06</v>
      </c>
      <c r="E104" s="86">
        <f>E63+E81+E91+E103</f>
        <v>425647.6</v>
      </c>
      <c r="F104" s="86">
        <f>F63+F81+F91+F103</f>
        <v>758.67</v>
      </c>
      <c r="G104" s="86">
        <f>G63+G81+G103</f>
        <v>76276.899999999994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8184066.0800000001</v>
      </c>
      <c r="D109" s="24" t="s">
        <v>289</v>
      </c>
      <c r="E109" s="95">
        <f>('DOE25'!L276)+('DOE25'!L295)+('DOE25'!L314)</f>
        <v>238195.26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3357687.67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96766.1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493046.21</v>
      </c>
      <c r="D112" s="24" t="s">
        <v>289</v>
      </c>
      <c r="E112" s="95">
        <f>+('DOE25'!L279)+('DOE25'!L298)+('DOE25'!L317)</f>
        <v>2550.1999999999998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12131566.060000001</v>
      </c>
      <c r="D115" s="86">
        <f>SUM(D109:D114)</f>
        <v>0</v>
      </c>
      <c r="E115" s="86">
        <f>SUM(E109:E114)</f>
        <v>240745.46000000002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1595738.16</v>
      </c>
      <c r="D118" s="24" t="s">
        <v>289</v>
      </c>
      <c r="E118" s="95">
        <f>+('DOE25'!L281)+('DOE25'!L300)+('DOE25'!L319)</f>
        <v>5258.04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1484494.2399999998</v>
      </c>
      <c r="D119" s="24" t="s">
        <v>289</v>
      </c>
      <c r="E119" s="95">
        <f>+('DOE25'!L282)+('DOE25'!L301)+('DOE25'!L320)</f>
        <v>138767.35999999999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905066.85999999987</v>
      </c>
      <c r="D120" s="24" t="s">
        <v>289</v>
      </c>
      <c r="E120" s="95">
        <f>+('DOE25'!L283)+('DOE25'!L302)+('DOE25'!L321)</f>
        <v>20450.650000000001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1308386.07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38919.54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2397098.67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897807.71</v>
      </c>
      <c r="D124" s="24" t="s">
        <v>289</v>
      </c>
      <c r="E124" s="95">
        <f>+('DOE25'!L287)+('DOE25'!L306)+('DOE25'!L325)</f>
        <v>1184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775433.65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437381.67000000004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9402944.9000000004</v>
      </c>
      <c r="D128" s="86">
        <f>SUM(D118:D127)</f>
        <v>437381.67000000004</v>
      </c>
      <c r="E128" s="86">
        <f>SUM(E118:E127)</f>
        <v>165660.04999999999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1915827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76276.900000000009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-1276.9000000000087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75000</v>
      </c>
      <c r="D144" s="141">
        <f>SUM(D130:D143)</f>
        <v>0</v>
      </c>
      <c r="E144" s="141">
        <f>SUM(E130:E143)</f>
        <v>0</v>
      </c>
      <c r="F144" s="141">
        <f>SUM(F130:F143)</f>
        <v>1915827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21609510.960000001</v>
      </c>
      <c r="D145" s="86">
        <f>(D115+D128+D144)</f>
        <v>437381.67000000004</v>
      </c>
      <c r="E145" s="86">
        <f>(E115+E128+E144)</f>
        <v>406405.51</v>
      </c>
      <c r="F145" s="86">
        <f>(F115+F128+F144)</f>
        <v>1915827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INTER-LAKES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19065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21953</v>
      </c>
    </row>
    <row r="7" spans="1:4" x14ac:dyDescent="0.2">
      <c r="B7" t="s">
        <v>705</v>
      </c>
      <c r="C7" s="179">
        <f>IF('DOE25'!I665+'DOE25'!I670=0,0,ROUND('DOE25'!I672,0))</f>
        <v>19949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8422261</v>
      </c>
      <c r="D10" s="182">
        <f>ROUND((C10/$C$28)*100,1)</f>
        <v>38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3357688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96766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495596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1600996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1623262</v>
      </c>
      <c r="D16" s="182">
        <f t="shared" si="0"/>
        <v>7.3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1700951</v>
      </c>
      <c r="D17" s="182">
        <f t="shared" si="0"/>
        <v>7.7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1308386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38920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2397099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898992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233553.65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22174470.649999999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1915827</v>
      </c>
    </row>
    <row r="30" spans="1:4" x14ac:dyDescent="0.2">
      <c r="B30" s="187" t="s">
        <v>729</v>
      </c>
      <c r="C30" s="180">
        <f>SUM(C28:C29)</f>
        <v>24090297.649999999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15305188</v>
      </c>
      <c r="D35" s="182">
        <f t="shared" ref="D35:D40" si="1">ROUND((C35/$C$41)*100,1)</f>
        <v>67.099999999999994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158760.14999999851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6437211</v>
      </c>
      <c r="D37" s="182">
        <f t="shared" si="1"/>
        <v>28.2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118120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806470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22825749.149999999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INTER-LAKES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7</v>
      </c>
      <c r="B4" s="219">
        <v>12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9</v>
      </c>
      <c r="B5" s="219">
        <v>12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15</v>
      </c>
      <c r="B6" s="219" t="s">
        <v>914</v>
      </c>
      <c r="C6" s="285" t="s">
        <v>915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2016-09-07T15:45:54Z</cp:lastPrinted>
  <dcterms:created xsi:type="dcterms:W3CDTF">1997-12-04T19:04:30Z</dcterms:created>
  <dcterms:modified xsi:type="dcterms:W3CDTF">2016-11-30T16:24:45Z</dcterms:modified>
</cp:coreProperties>
</file>