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E123" i="2" s="1"/>
  <c r="L325" i="1"/>
  <c r="E124" i="2" s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C85" i="2" s="1"/>
  <c r="F162" i="1"/>
  <c r="G147" i="1"/>
  <c r="D85" i="2" s="1"/>
  <c r="G162" i="1"/>
  <c r="H147" i="1"/>
  <c r="E85" i="2" s="1"/>
  <c r="H162" i="1"/>
  <c r="I147" i="1"/>
  <c r="F85" i="2" s="1"/>
  <c r="I162" i="1"/>
  <c r="L250" i="1"/>
  <c r="C113" i="2" s="1"/>
  <c r="L332" i="1"/>
  <c r="E113" i="2" s="1"/>
  <c r="L254" i="1"/>
  <c r="L268" i="1"/>
  <c r="L269" i="1"/>
  <c r="C143" i="2" s="1"/>
  <c r="L349" i="1"/>
  <c r="L350" i="1"/>
  <c r="E143" i="2" s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D115" i="2"/>
  <c r="F115" i="2"/>
  <c r="G115" i="2"/>
  <c r="E120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3" i="1"/>
  <c r="H643" i="1"/>
  <c r="G644" i="1"/>
  <c r="G652" i="1"/>
  <c r="H652" i="1"/>
  <c r="G653" i="1"/>
  <c r="H653" i="1"/>
  <c r="G654" i="1"/>
  <c r="H654" i="1"/>
  <c r="H655" i="1"/>
  <c r="G62" i="2"/>
  <c r="E78" i="2"/>
  <c r="I169" i="1"/>
  <c r="G338" i="1"/>
  <c r="G352" i="1" s="1"/>
  <c r="H140" i="1"/>
  <c r="L290" i="1" l="1"/>
  <c r="C121" i="2"/>
  <c r="C110" i="2"/>
  <c r="I408" i="1"/>
  <c r="H257" i="1"/>
  <c r="H192" i="1"/>
  <c r="H338" i="1"/>
  <c r="H352" i="1" s="1"/>
  <c r="I112" i="1"/>
  <c r="I52" i="1"/>
  <c r="H620" i="1" s="1"/>
  <c r="J620" i="1" s="1"/>
  <c r="H52" i="1"/>
  <c r="H619" i="1" s="1"/>
  <c r="J619" i="1" s="1"/>
  <c r="G476" i="1"/>
  <c r="H623" i="1" s="1"/>
  <c r="J623" i="1" s="1"/>
  <c r="K257" i="1"/>
  <c r="K271" i="1" s="1"/>
  <c r="F552" i="1"/>
  <c r="H661" i="1"/>
  <c r="D18" i="13"/>
  <c r="C18" i="13" s="1"/>
  <c r="J649" i="1"/>
  <c r="E8" i="13"/>
  <c r="C8" i="13" s="1"/>
  <c r="L565" i="1"/>
  <c r="J476" i="1"/>
  <c r="H626" i="1" s="1"/>
  <c r="F476" i="1"/>
  <c r="H622" i="1" s="1"/>
  <c r="J622" i="1" s="1"/>
  <c r="H461" i="1"/>
  <c r="H641" i="1" s="1"/>
  <c r="G81" i="2"/>
  <c r="D91" i="2"/>
  <c r="C11" i="10"/>
  <c r="E119" i="2"/>
  <c r="E110" i="2"/>
  <c r="I369" i="1"/>
  <c r="H634" i="1" s="1"/>
  <c r="J634" i="1" s="1"/>
  <c r="D7" i="13"/>
  <c r="C7" i="13" s="1"/>
  <c r="L211" i="1"/>
  <c r="J552" i="1"/>
  <c r="G552" i="1"/>
  <c r="H271" i="1"/>
  <c r="C26" i="10"/>
  <c r="C123" i="2"/>
  <c r="D12" i="13"/>
  <c r="C12" i="13" s="1"/>
  <c r="C122" i="2"/>
  <c r="H476" i="1"/>
  <c r="H624" i="1" s="1"/>
  <c r="G461" i="1"/>
  <c r="H640" i="1" s="1"/>
  <c r="J640" i="1" s="1"/>
  <c r="L433" i="1"/>
  <c r="L419" i="1"/>
  <c r="K338" i="1"/>
  <c r="K352" i="1" s="1"/>
  <c r="C119" i="2"/>
  <c r="E103" i="2"/>
  <c r="C78" i="2"/>
  <c r="K550" i="1"/>
  <c r="F22" i="13"/>
  <c r="C22" i="13" s="1"/>
  <c r="E13" i="13"/>
  <c r="C13" i="13" s="1"/>
  <c r="F461" i="1"/>
  <c r="H639" i="1" s="1"/>
  <c r="J639" i="1" s="1"/>
  <c r="H408" i="1"/>
  <c r="H644" i="1" s="1"/>
  <c r="J644" i="1" s="1"/>
  <c r="L309" i="1"/>
  <c r="E122" i="2"/>
  <c r="E118" i="2"/>
  <c r="H112" i="1"/>
  <c r="J643" i="1"/>
  <c r="I571" i="1"/>
  <c r="J571" i="1"/>
  <c r="K571" i="1"/>
  <c r="L560" i="1"/>
  <c r="I460" i="1"/>
  <c r="I452" i="1"/>
  <c r="E142" i="2"/>
  <c r="D18" i="2"/>
  <c r="G112" i="1"/>
  <c r="L393" i="1"/>
  <c r="C138" i="2" s="1"/>
  <c r="E121" i="2"/>
  <c r="E112" i="2"/>
  <c r="D19" i="13"/>
  <c r="C19" i="13" s="1"/>
  <c r="D17" i="13"/>
  <c r="C17" i="13" s="1"/>
  <c r="C16" i="10"/>
  <c r="L229" i="1"/>
  <c r="G660" i="1" s="1"/>
  <c r="C125" i="2"/>
  <c r="F660" i="1"/>
  <c r="L534" i="1"/>
  <c r="F338" i="1"/>
  <c r="F352" i="1" s="1"/>
  <c r="L256" i="1"/>
  <c r="F257" i="1"/>
  <c r="F271" i="1" s="1"/>
  <c r="G164" i="2"/>
  <c r="G156" i="2"/>
  <c r="K500" i="1"/>
  <c r="G161" i="2"/>
  <c r="G157" i="2"/>
  <c r="C114" i="2"/>
  <c r="F78" i="2"/>
  <c r="F81" i="2" s="1"/>
  <c r="K551" i="1"/>
  <c r="H552" i="1"/>
  <c r="K549" i="1"/>
  <c r="F130" i="2"/>
  <c r="F144" i="2" s="1"/>
  <c r="F145" i="2" s="1"/>
  <c r="G661" i="1"/>
  <c r="I476" i="1"/>
  <c r="H625" i="1" s="1"/>
  <c r="K598" i="1"/>
  <c r="G647" i="1" s="1"/>
  <c r="H571" i="1"/>
  <c r="F571" i="1"/>
  <c r="K545" i="1"/>
  <c r="J545" i="1"/>
  <c r="I545" i="1"/>
  <c r="H545" i="1"/>
  <c r="I552" i="1"/>
  <c r="G545" i="1"/>
  <c r="L427" i="1"/>
  <c r="I446" i="1"/>
  <c r="G642" i="1" s="1"/>
  <c r="L401" i="1"/>
  <c r="C139" i="2" s="1"/>
  <c r="D127" i="2"/>
  <c r="D128" i="2" s="1"/>
  <c r="D145" i="2" s="1"/>
  <c r="L362" i="1"/>
  <c r="G635" i="1" s="1"/>
  <c r="J635" i="1" s="1"/>
  <c r="E114" i="2"/>
  <c r="C12" i="10"/>
  <c r="E125" i="2"/>
  <c r="H662" i="1"/>
  <c r="C21" i="10"/>
  <c r="L328" i="1"/>
  <c r="C20" i="10"/>
  <c r="C10" i="10"/>
  <c r="J655" i="1"/>
  <c r="C132" i="2"/>
  <c r="C32" i="10"/>
  <c r="L270" i="1"/>
  <c r="D14" i="13"/>
  <c r="C14" i="13" s="1"/>
  <c r="J257" i="1"/>
  <c r="J271" i="1" s="1"/>
  <c r="I257" i="1"/>
  <c r="I271" i="1" s="1"/>
  <c r="G257" i="1"/>
  <c r="G271" i="1" s="1"/>
  <c r="C17" i="10"/>
  <c r="E16" i="13"/>
  <c r="E33" i="13" s="1"/>
  <c r="D35" i="13" s="1"/>
  <c r="J651" i="1"/>
  <c r="C18" i="10"/>
  <c r="C118" i="2"/>
  <c r="A40" i="12"/>
  <c r="D5" i="13"/>
  <c r="C5" i="13" s="1"/>
  <c r="A31" i="12"/>
  <c r="A13" i="12"/>
  <c r="L247" i="1"/>
  <c r="H169" i="1"/>
  <c r="E62" i="2"/>
  <c r="E63" i="2" s="1"/>
  <c r="G192" i="1"/>
  <c r="D81" i="2"/>
  <c r="D62" i="2"/>
  <c r="D63" i="2" s="1"/>
  <c r="F192" i="1"/>
  <c r="C91" i="2"/>
  <c r="F169" i="1"/>
  <c r="C70" i="2"/>
  <c r="F112" i="1"/>
  <c r="J641" i="1"/>
  <c r="D6" i="13"/>
  <c r="C6" i="13" s="1"/>
  <c r="H647" i="1"/>
  <c r="E109" i="2"/>
  <c r="C62" i="2"/>
  <c r="F661" i="1"/>
  <c r="C19" i="10"/>
  <c r="C15" i="10"/>
  <c r="C35" i="10"/>
  <c r="C29" i="10"/>
  <c r="L351" i="1"/>
  <c r="L544" i="1"/>
  <c r="L524" i="1"/>
  <c r="J338" i="1"/>
  <c r="J352" i="1" s="1"/>
  <c r="C124" i="2"/>
  <c r="C120" i="2"/>
  <c r="C111" i="2"/>
  <c r="C115" i="2" s="1"/>
  <c r="C56" i="2"/>
  <c r="F662" i="1"/>
  <c r="C13" i="10"/>
  <c r="D15" i="13"/>
  <c r="C15" i="13" s="1"/>
  <c r="L539" i="1"/>
  <c r="K503" i="1"/>
  <c r="L382" i="1"/>
  <c r="G636" i="1" s="1"/>
  <c r="J636" i="1" s="1"/>
  <c r="H25" i="13"/>
  <c r="E81" i="2"/>
  <c r="D29" i="13"/>
  <c r="C29" i="13" s="1"/>
  <c r="G645" i="1"/>
  <c r="J645" i="1" s="1"/>
  <c r="L614" i="1"/>
  <c r="L529" i="1"/>
  <c r="G625" i="1"/>
  <c r="F18" i="2"/>
  <c r="G624" i="1"/>
  <c r="J624" i="1" s="1"/>
  <c r="E31" i="2"/>
  <c r="D50" i="2"/>
  <c r="D31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I461" i="1" l="1"/>
  <c r="H642" i="1" s="1"/>
  <c r="J642" i="1" s="1"/>
  <c r="C81" i="2"/>
  <c r="L257" i="1"/>
  <c r="L271" i="1" s="1"/>
  <c r="G632" i="1" s="1"/>
  <c r="J632" i="1" s="1"/>
  <c r="G664" i="1"/>
  <c r="G672" i="1" s="1"/>
  <c r="C5" i="10" s="1"/>
  <c r="F104" i="2"/>
  <c r="K552" i="1"/>
  <c r="F33" i="13"/>
  <c r="I661" i="1"/>
  <c r="H193" i="1"/>
  <c r="G629" i="1" s="1"/>
  <c r="J629" i="1" s="1"/>
  <c r="E128" i="2"/>
  <c r="L434" i="1"/>
  <c r="G638" i="1" s="1"/>
  <c r="J638" i="1" s="1"/>
  <c r="G104" i="2"/>
  <c r="J647" i="1"/>
  <c r="G51" i="2"/>
  <c r="J625" i="1"/>
  <c r="L545" i="1"/>
  <c r="C141" i="2"/>
  <c r="C144" i="2" s="1"/>
  <c r="C27" i="10"/>
  <c r="C28" i="10" s="1"/>
  <c r="C30" i="10" s="1"/>
  <c r="D31" i="13"/>
  <c r="C31" i="13" s="1"/>
  <c r="E115" i="2"/>
  <c r="I662" i="1"/>
  <c r="L338" i="1"/>
  <c r="L352" i="1" s="1"/>
  <c r="G633" i="1" s="1"/>
  <c r="J633" i="1" s="1"/>
  <c r="H648" i="1"/>
  <c r="J648" i="1" s="1"/>
  <c r="C16" i="13"/>
  <c r="C128" i="2"/>
  <c r="H660" i="1"/>
  <c r="H664" i="1" s="1"/>
  <c r="H667" i="1" s="1"/>
  <c r="E104" i="2"/>
  <c r="D104" i="2"/>
  <c r="C39" i="10"/>
  <c r="C36" i="10"/>
  <c r="F193" i="1"/>
  <c r="G627" i="1" s="1"/>
  <c r="J627" i="1" s="1"/>
  <c r="C63" i="2"/>
  <c r="C104" i="2" s="1"/>
  <c r="C25" i="13"/>
  <c r="H33" i="13"/>
  <c r="F664" i="1"/>
  <c r="I193" i="1"/>
  <c r="G630" i="1" s="1"/>
  <c r="J630" i="1" s="1"/>
  <c r="L408" i="1"/>
  <c r="F51" i="2"/>
  <c r="E51" i="2"/>
  <c r="D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67" i="1" l="1"/>
  <c r="E145" i="2"/>
  <c r="D33" i="13"/>
  <c r="D36" i="13" s="1"/>
  <c r="C145" i="2"/>
  <c r="D23" i="10"/>
  <c r="D17" i="10"/>
  <c r="H672" i="1"/>
  <c r="C6" i="10" s="1"/>
  <c r="I660" i="1"/>
  <c r="I664" i="1" s="1"/>
  <c r="I672" i="1" s="1"/>
  <c r="C7" i="10" s="1"/>
  <c r="D11" i="10"/>
  <c r="D15" i="10"/>
  <c r="D18" i="10"/>
  <c r="D20" i="10"/>
  <c r="D26" i="10"/>
  <c r="D13" i="10"/>
  <c r="D10" i="10"/>
  <c r="D27" i="10"/>
  <c r="D24" i="10"/>
  <c r="D22" i="10"/>
  <c r="D16" i="10"/>
  <c r="D21" i="10"/>
  <c r="D25" i="10"/>
  <c r="D19" i="10"/>
  <c r="D12" i="10"/>
  <c r="G637" i="1"/>
  <c r="J637" i="1" s="1"/>
  <c r="H646" i="1"/>
  <c r="J646" i="1" s="1"/>
  <c r="F672" i="1"/>
  <c r="C4" i="10" s="1"/>
  <c r="F667" i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<sst xmlns="http://schemas.openxmlformats.org/spreadsheetml/2006/main" count="3960" uniqueCount="916">
  <si>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</si>
  <si>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</si>
  <si>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</si>
  <si>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</si>
  <si>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</si>
  <si>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</si>
  <si>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</si>
  <si>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</si>
  <si>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</si>
  <si>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</si>
  <si>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</si>
  <si>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</si>
  <si>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</si>
  <si>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</si>
  <si>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</si>
  <si>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</si>
  <si>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</si>
  <si>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</si>
  <si>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</si>
  <si>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</si>
  <si>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</si>
  <si>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</si>
  <si>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</si>
  <si>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</si>
  <si>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</si>
  <si>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</si>
  <si>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</si>
  <si>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</si>
  <si>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</si>
  <si>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</si>
  <si>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</si>
  <si>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</si>
  <si>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</si>
  <si>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</si>
  <si>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</si>
  <si>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</si>
  <si>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</si>
  <si>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</si>
  <si>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</si>
  <si>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</si>
  <si>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</si>
  <si>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</si>
  <si>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</si>
  <si>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</si>
  <si>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</si>
  <si>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</si>
  <si>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</si>
  <si>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</si>
  <si>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</si>
  <si>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</si>
  <si>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</si>
  <si>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</si>
  <si>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</si>
  <si>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</si>
  <si>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</si>
  <si>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</si>
  <si>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</si>
  <si>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</si>
  <si>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</si>
  <si>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</si>
  <si>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</si>
  <si>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</si>
  <si>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</si>
  <si>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</si>
  <si>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</si>
  <si>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</si>
  <si>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</si>
  <si>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</si>
  <si>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</si>
  <si>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</si>
  <si>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</si>
  <si>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</si>
  <si>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</si>
  <si>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</si>
  <si>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</si>
  <si>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</si>
  <si>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</si>
  <si>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</si>
  <si>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</si>
  <si>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</si>
  <si>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</si>
  <si>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</si>
  <si>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</si>
  <si>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</si>
  <si>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</si>
  <si>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</si>
  <si>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</si>
  <si>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</si>
  <si>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</si>
  <si>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</si>
  <si>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</si>
  <si>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</si>
  <si>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</si>
  <si>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</si>
  <si>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</si>
  <si>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</si>
  <si>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</si>
  <si>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</si>
  <si>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</si>
  <si>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</si>
  <si>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</si>
  <si>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</si>
  <si>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</si>
  <si>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</si>
  <si>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</si>
  <si>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</si>
  <si>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</si>
  <si>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</si>
  <si>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</si>
  <si>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</si>
  <si>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</si>
  <si>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</si>
  <si>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</si>
  <si>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</si>
  <si>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</si>
  <si>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</si>
  <si>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</si>
  <si>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</si>
  <si>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</si>
  <si>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</si>
  <si>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</si>
  <si>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</si>
  <si>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</si>
  <si>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</si>
  <si>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</si>
  <si>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</si>
  <si>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</si>
  <si>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</si>
  <si>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</si>
  <si>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</si>
  <si>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</si>
  <si>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</si>
  <si>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</si>
  <si>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</si>
  <si>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</si>
  <si>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</si>
  <si>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</si>
  <si>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</si>
  <si>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</si>
  <si>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</si>
  <si>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</si>
  <si>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</si>
  <si>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</si>
  <si>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</si>
  <si>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</si>
  <si>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</si>
  <si>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</si>
  <si>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</si>
  <si>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</si>
  <si>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</si>
  <si>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</si>
  <si>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</si>
  <si>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</si>
  <si>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</si>
  <si>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</si>
  <si>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</si>
  <si>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</si>
  <si>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</si>
  <si>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</si>
  <si>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</si>
  <si>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</si>
  <si>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</si>
  <si>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</si>
  <si>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</si>
  <si>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</si>
  <si>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</si>
  <si>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</si>
  <si>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</si>
  <si>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</si>
  <si>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</si>
  <si>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</si>
  <si>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</si>
  <si>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</si>
  <si>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</si>
  <si>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</si>
  <si>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</si>
  <si>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</si>
  <si>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</si>
  <si>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</si>
  <si>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</si>
  <si>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</si>
  <si>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</si>
  <si>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</si>
  <si>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</si>
  <si>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</si>
  <si>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</si>
  <si>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</si>
  <si>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</si>
  <si>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</si>
  <si>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</si>
  <si>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</si>
  <si>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</si>
  <si>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</si>
  <si>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</si>
  <si>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</si>
  <si>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</si>
  <si>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</si>
  <si>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</si>
  <si>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</si>
  <si>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</si>
  <si>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</si>
  <si>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</si>
  <si>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</si>
  <si>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</si>
  <si>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</si>
  <si>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</si>
  <si>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</si>
  <si>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</si>
  <si>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</si>
  <si>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</si>
  <si>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</si>
  <si>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</si>
  <si>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</si>
  <si>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</si>
  <si>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</si>
  <si>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</si>
  <si>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</si>
  <si>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</si>
  <si>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</si>
  <si>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</si>
  <si>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</si>
  <si>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</si>
  <si>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</si>
  <si>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</si>
  <si>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</si>
  <si>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</si>
  <si>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</si>
  <si>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</si>
  <si>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</si>
  <si>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</si>
  <si>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</si>
  <si>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</si>
  <si>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</si>
  <si>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</si>
  <si>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</si>
  <si>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</si>
  <si>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</si>
  <si>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</si>
  <si>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</si>
  <si>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</si>
  <si>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</si>
  <si>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</si>
  <si>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</si>
  <si>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</si>
  <si>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</si>
  <si>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</si>
  <si>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</si>
  <si>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</si>
  <si>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</si>
  <si>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</si>
  <si>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</si>
  <si>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</si>
  <si>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</si>
  <si>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</si>
  <si>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</si>
  <si>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</si>
  <si>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</si>
  <si>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</si>
  <si>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</si>
  <si>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</si>
  <si>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</si>
  <si>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</si>
  <si>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</si>
  <si>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</si>
  <si>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</si>
  <si>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</si>
  <si>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</si>
  <si>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</si>
  <si>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</si>
  <si>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</si>
  <si>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</si>
  <si>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</si>
  <si>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</si>
  <si>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</si>
  <si>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</si>
  <si>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</si>
  <si>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</si>
  <si>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</si>
  <si>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</si>
  <si>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</si>
  <si>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</si>
  <si>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</si>
  <si>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</si>
  <si>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</si>
  <si>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</si>
  <si>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</si>
  <si>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</si>
  <si>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</si>
  <si>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</si>
  <si>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</si>
  <si>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</si>
  <si>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</si>
  <si>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</si>
  <si>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</si>
  <si>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</si>
  <si>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</si>
  <si>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</si>
  <si>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</si>
  <si>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</si>
  <si>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</si>
  <si>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</si>
  <si>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</si>
  <si>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</si>
  <si>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</si>
  <si>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</si>
  <si>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</si>
  <si>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</si>
  <si>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</si>
  <si>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</si>
  <si>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</si>
  <si>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</si>
  <si>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</si>
  <si>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</si>
  <si>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</si>
  <si>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</si>
  <si>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</si>
  <si>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</si>
  <si>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</si>
  <si>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</si>
  <si>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</si>
  <si>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</si>
  <si>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</si>
  <si>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</si>
  <si>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</si>
  <si>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</si>
  <si>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</si>
  <si>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</si>
  <si>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</si>
  <si>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</si>
  <si>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</si>
  <si>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</si>
  <si>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</si>
  <si>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</si>
  <si>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</si>
  <si>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</si>
  <si>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</si>
  <si>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</si>
  <si>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</si>
  <si>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</si>
  <si>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</si>
  <si>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</si>
  <si>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</si>
  <si>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</si>
  <si>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</si>
  <si>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</si>
  <si>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</si>
  <si>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</si>
  <si>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</si>
  <si>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</si>
  <si>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</si>
  <si>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</si>
  <si>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</si>
  <si>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</si>
  <si>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</si>
  <si>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</si>
  <si>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</si>
  <si>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</si>
  <si>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</si>
  <si>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</si>
  <si>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</si>
  <si>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</si>
  <si>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</si>
  <si>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</si>
  <si>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</si>
  <si>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</si>
  <si>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</si>
  <si>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</si>
  <si>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</si>
  <si>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</si>
  <si>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</si>
  <si>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</si>
  <si>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</si>
  <si>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</si>
  <si>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</si>
  <si>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</si>
  <si>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</si>
  <si>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</si>
  <si>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</si>
  <si>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</si>
  <si>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</si>
  <si>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</si>
  <si>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</si>
  <si>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</si>
  <si>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</si>
  <si>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</si>
  <si>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</si>
  <si>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</si>
  <si>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</si>
  <si>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</si>
  <si>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</si>
  <si>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</si>
  <si>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</si>
  <si>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</si>
  <si>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</si>
  <si>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</si>
  <si>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</si>
  <si>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</si>
  <si>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</si>
  <si>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</si>
  <si>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</si>
  <si>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</si>
  <si>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</si>
  <si>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</si>
  <si>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</si>
  <si>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</si>
  <si>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</si>
  <si>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</si>
  <si>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</si>
  <si>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</si>
  <si>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</si>
  <si>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</si>
  <si>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</si>
  <si>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</si>
  <si>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</si>
  <si>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</si>
  <si>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</si>
  <si>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</si>
  <si>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</si>
  <si>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</si>
  <si>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</si>
  <si>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</si>
  <si>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</si>
  <si>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</si>
  <si>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</si>
  <si>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</si>
  <si>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</si>
  <si>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</si>
  <si>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</si>
  <si>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</si>
  <si>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</si>
  <si>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</si>
  <si>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</si>
  <si>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</si>
  <si>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</si>
  <si>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</si>
  <si>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</si>
  <si>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</si>
  <si>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</si>
  <si>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</si>
  <si>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</si>
  <si>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</si>
  <si>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</si>
  <si>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</si>
  <si>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</si>
  <si>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</si>
  <si>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</si>
  <si>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</si>
  <si>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</si>
  <si>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</si>
  <si>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</si>
  <si>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</si>
  <si>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</si>
  <si>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</si>
  <si>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</si>
  <si>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</si>
  <si>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</si>
  <si>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</si>
  <si>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</si>
  <si>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</si>
  <si>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</si>
  <si>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</si>
  <si>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</si>
  <si>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</si>
  <si>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</si>
  <si>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</si>
  <si>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</si>
  <si>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</si>
  <si>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</si>
  <si>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</si>
  <si>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</si>
  <si>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</si>
  <si>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</si>
  <si>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</si>
  <si>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</si>
  <si>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</si>
  <si>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</si>
  <si>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</si>
  <si>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</si>
  <si>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</si>
  <si>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</si>
  <si>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</si>
  <si>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</si>
  <si>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</si>
  <si>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</si>
  <si>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</si>
  <si>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</si>
  <si>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</si>
  <si>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</si>
  <si>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</si>
  <si>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</si>
  <si>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</si>
  <si>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</si>
  <si>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</si>
  <si>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</si>
  <si>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</si>
  <si>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</si>
  <si>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</si>
  <si>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</si>
  <si>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</si>
  <si>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</si>
  <si>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</si>
  <si>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</si>
  <si>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</si>
  <si>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</si>
  <si>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</si>
  <si>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</si>
  <si>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</si>
  <si>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</si>
  <si>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</si>
  <si>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</si>
  <si>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</si>
  <si>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</si>
  <si>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</si>
  <si>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</si>
  <si>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</si>
  <si>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</si>
  <si>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</si>
  <si>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</si>
  <si>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</si>
  <si>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</si>
  <si>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</si>
  <si>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</si>
  <si>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</si>
  <si>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</si>
  <si>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</si>
  <si>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</si>
  <si>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</si>
  <si>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</si>
  <si>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</si>
  <si>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</si>
  <si>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</si>
  <si>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</si>
  <si>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</si>
  <si>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</si>
  <si>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</si>
  <si>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</si>
  <si>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</si>
  <si>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</si>
  <si>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</si>
  <si>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</si>
  <si>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</si>
  <si>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</si>
  <si>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</si>
  <si>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</si>
  <si>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</si>
  <si>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</si>
  <si>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</si>
  <si>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</si>
  <si>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</si>
  <si>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</si>
  <si>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</si>
  <si>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</si>
  <si>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</si>
  <si>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</si>
  <si>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</si>
  <si>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</si>
  <si>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</si>
  <si>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</si>
  <si>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</si>
  <si>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</si>
  <si>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</si>
  <si>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</si>
  <si>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</si>
  <si>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</si>
  <si>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</si>
  <si>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</si>
  <si>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</si>
  <si>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</si>
  <si>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</si>
  <si>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</si>
  <si>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</si>
  <si>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</si>
  <si>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</si>
  <si>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</si>
  <si>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</si>
  <si>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</si>
  <si>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</si>
  <si>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</si>
  <si>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</si>
  <si>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</si>
  <si>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</si>
  <si>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</si>
  <si>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</si>
  <si>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</si>
  <si>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</si>
  <si>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</si>
  <si>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</si>
  <si>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</si>
  <si>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</si>
  <si>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</si>
  <si>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</si>
  <si>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</si>
  <si>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</si>
  <si>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</si>
  <si>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</si>
  <si>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</si>
  <si>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</si>
  <si>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</si>
  <si>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</si>
  <si>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</si>
  <si>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</si>
  <si>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</si>
  <si>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</si>
  <si>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</si>
  <si>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</si>
  <si>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</si>
  <si>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</si>
  <si>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</si>
  <si>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</si>
  <si>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</si>
  <si>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</si>
  <si>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</si>
  <si>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</si>
  <si>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</si>
  <si>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</si>
  <si>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</si>
  <si>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</si>
  <si>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</si>
  <si>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</si>
  <si>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</si>
  <si>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</si>
  <si>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</si>
  <si>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</si>
  <si>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</si>
  <si>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</si>
  <si>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</si>
  <si>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</si>
  <si>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</si>
  <si>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</si>
  <si>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</si>
  <si>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</si>
  <si>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</si>
  <si>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</si>
  <si>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</si>
  <si>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</si>
  <si>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</si>
  <si>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</si>
  <si>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</si>
  <si>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</si>
  <si>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</si>
  <si>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</si>
  <si>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</si>
  <si>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</si>
  <si>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</si>
  <si>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</si>
  <si>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</si>
  <si>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</si>
  <si>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</si>
  <si>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</si>
  <si>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</si>
  <si>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</si>
  <si>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</si>
  <si>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</si>
  <si>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</si>
  <si>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</si>
  <si>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</si>
  <si>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</si>
  <si>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</si>
  <si>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</si>
  <si>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</si>
  <si>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</si>
  <si>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</si>
  <si>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</si>
  <si>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</si>
  <si>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</si>
  <si>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</si>
  <si>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</si>
  <si>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</si>
  <si>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</si>
  <si>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</si>
  <si>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</si>
  <si>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</si>
  <si>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</si>
  <si>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</si>
  <si>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</si>
  <si>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</si>
  <si>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</si>
  <si>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</si>
  <si>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</si>
  <si>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</si>
  <si>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</si>
  <si>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</si>
  <si>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</si>
  <si>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</si>
  <si>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</si>
  <si>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</si>
  <si>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</si>
  <si>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</si>
  <si>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</si>
  <si>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</si>
  <si>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</si>
  <si>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</si>
  <si>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</si>
  <si>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</si>
  <si>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</si>
  <si>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</si>
  <si>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</si>
  <si>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</si>
  <si>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</si>
  <si>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</si>
  <si>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</si>
  <si>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</si>
  <si>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</si>
  <si>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</si>
  <si>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</si>
  <si>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</si>
  <si>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</si>
  <si>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</si>
  <si>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</si>
  <si>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</si>
  <si>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</si>
  <si>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</si>
  <si>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</si>
  <si>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</si>
  <si>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</si>
  <si>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</si>
  <si>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</si>
  <si>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</si>
  <si>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</si>
  <si>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</si>
  <si>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</si>
  <si>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</si>
  <si>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</si>
  <si>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</si>
  <si>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</si>
  <si>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</si>
  <si>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</si>
  <si>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</si>
  <si>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</si>
  <si>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</si>
  <si>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</si>
  <si>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</si>
  <si>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</si>
  <si>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</si>
  <si>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</si>
  <si>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</si>
  <si>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</si>
  <si>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</si>
  <si>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</si>
  <si>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</si>
  <si>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</si>
  <si>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</si>
  <si>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</si>
  <si>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</si>
  <si>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</si>
  <si>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</si>
  <si>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</si>
  <si>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</si>
  <si>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</si>
  <si>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</si>
  <si>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</si>
  <si>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</si>
  <si>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</si>
  <si>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</si>
  <si>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</si>
  <si>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</si>
  <si>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</si>
  <si>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</si>
  <si>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</si>
  <si>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</si>
  <si>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</si>
  <si>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</si>
  <si>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</si>
  <si>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</si>
  <si>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</si>
  <si>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</si>
  <si>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</si>
  <si>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</si>
  <si>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</si>
  <si>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</si>
  <si>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</si>
  <si>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</si>
  <si>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</si>
  <si>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</si>
  <si>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</si>
  <si>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</si>
  <si>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</si>
  <si>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</si>
  <si>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</si>
  <si>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</si>
  <si>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</si>
  <si>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</si>
  <si>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</si>
  <si>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</si>
  <si>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</si>
  <si>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</si>
  <si>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</si>
  <si>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</si>
  <si>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</si>
  <si>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</si>
  <si>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</si>
  <si>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</si>
  <si>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</si>
  <si>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</si>
  <si>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</si>
  <si>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</si>
  <si>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</si>
  <si>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</si>
  <si>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</si>
  <si>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</si>
  <si>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</si>
  <si>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</si>
  <si>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</si>
  <si>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</si>
  <si>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</si>
  <si>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</si>
  <si>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</si>
  <si>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</si>
  <si>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</si>
  <si>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</si>
  <si>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</si>
  <si>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</si>
  <si>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</si>
  <si>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</si>
  <si>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</si>
  <si>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</si>
  <si>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</si>
  <si>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</si>
  <si>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</si>
  <si>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</si>
  <si>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</si>
  <si>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</si>
  <si>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</si>
  <si>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</si>
  <si>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</si>
  <si>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</si>
  <si>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</si>
  <si>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</si>
  <si>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</si>
  <si>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</si>
  <si>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</si>
  <si>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</si>
  <si>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</si>
  <si>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</si>
  <si>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</si>
  <si>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</si>
  <si>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</si>
  <si>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</si>
  <si>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</si>
  <si>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</si>
  <si>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</si>
  <si>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</si>
  <si>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</si>
  <si>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</si>
  <si>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</si>
  <si>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</si>
  <si>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</si>
  <si>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</si>
  <si>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</si>
  <si>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</si>
  <si>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</si>
  <si>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</si>
  <si>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</si>
  <si>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</si>
  <si>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</si>
  <si>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</si>
  <si>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</si>
  <si>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</si>
  <si>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</si>
  <si>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</si>
  <si>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</si>
  <si>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</si>
  <si>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</si>
  <si>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</si>
  <si>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</si>
  <si>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</si>
  <si>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</si>
  <si>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</si>
  <si>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</si>
  <si>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</si>
  <si>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</si>
  <si>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</si>
  <si>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</si>
  <si>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</si>
  <si>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</si>
  <si>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</si>
  <si>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</si>
  <si>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</si>
  <si>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</si>
  <si>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</si>
  <si>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</si>
  <si>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</si>
  <si>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</si>
  <si>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</si>
  <si>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</si>
  <si>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</si>
  <si>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</si>
  <si>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</si>
  <si>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</si>
  <si>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</si>
  <si>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</si>
  <si>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</si>
  <si>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</si>
  <si>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</si>
  <si>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</si>
  <si>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</si>
  <si>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</si>
  <si>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</si>
  <si>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</si>
  <si>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</si>
  <si>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</si>
  <si>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</si>
  <si>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</si>
  <si>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</si>
  <si>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</si>
  <si>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</si>
  <si>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</si>
  <si>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</si>
  <si>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</si>
  <si>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</si>
  <si>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</si>
  <si>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</si>
  <si>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JOHN STARK SCHOOL DISTRICT</t>
  </si>
  <si>
    <t>0</t>
  </si>
  <si>
    <t xml:space="preserve">     LIABS NOT PAID</t>
  </si>
  <si>
    <t xml:space="preserve">   Receivables not rec'ed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</si>
</sst>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275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801650.02</v>
      </c>
      <c r="G9" s="18">
        <v>27874.52</v>
      </c>
      <c r="H9" s="18">
        <v>-6789.26</v>
      </c>
      <c r="I9" s="18">
        <v>0</v>
      </c>
      <c r="J9" s="67">
        <f>SUM(I439)</f>
        <v>611908.27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3608.68</v>
      </c>
      <c r="H13" s="18">
        <v>7996.75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409.55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802059.57000000007</v>
      </c>
      <c r="G19" s="41">
        <f>SUM(G9:G18)</f>
        <v>31483.200000000001</v>
      </c>
      <c r="H19" s="41">
        <f>SUM(H9:H18)</f>
        <v>1207.4899999999998</v>
      </c>
      <c r="I19" s="41">
        <f>SUM(I9:I18)</f>
        <v>0</v>
      </c>
      <c r="J19" s="41">
        <f>SUM(J9:J18)</f>
        <v>611908.27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56428.6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117388.14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30026.93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23989.63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5383.66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227833.3</v>
      </c>
      <c r="G32" s="41">
        <f>SUM(G22:G31)</f>
        <v>5383.66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26099.54</v>
      </c>
      <c r="H48" s="18">
        <v>1207.49</v>
      </c>
      <c r="I48" s="18">
        <v>0</v>
      </c>
      <c r="J48" s="13">
        <f>SUM(I459)</f>
        <v>611908.27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/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524226.27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574226.27</v>
      </c>
      <c r="G51" s="41">
        <f>SUM(G35:G50)</f>
        <v>26099.54</v>
      </c>
      <c r="H51" s="41">
        <f>SUM(H35:H50)</f>
        <v>1207.49</v>
      </c>
      <c r="I51" s="41">
        <f>SUM(I35:I50)</f>
        <v>0</v>
      </c>
      <c r="J51" s="41">
        <f>SUM(J35:J50)</f>
        <v>611908.27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802059.57000000007</v>
      </c>
      <c r="G52" s="41">
        <f>G51+G32</f>
        <v>31483.200000000001</v>
      </c>
      <c r="H52" s="41">
        <f>H51+H32</f>
        <v>1207.49</v>
      </c>
      <c r="I52" s="41">
        <f>I51+I32</f>
        <v>0</v>
      </c>
      <c r="J52" s="41">
        <f>J51+J32</f>
        <v>611908.27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7981609</v>
      </c>
      <c r="G57" s="18">
        <v>0</v>
      </c>
      <c r="H57" s="18">
        <v>0</v>
      </c>
      <c r="I57" s="18">
        <v>0</v>
      </c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7981609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43401.29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43401.29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/>
      <c r="I96" s="18"/>
      <c r="J96" s="18">
        <v>1380.55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253950.88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>
        <v>0</v>
      </c>
      <c r="H101" s="18">
        <v>0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5736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1933.32</v>
      </c>
      <c r="G109" s="18">
        <v>0</v>
      </c>
      <c r="H109" s="18">
        <v>0</v>
      </c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139843.63</v>
      </c>
      <c r="G110" s="18">
        <v>1500</v>
      </c>
      <c r="H110" s="18">
        <v>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141776.95000000001</v>
      </c>
      <c r="G111" s="41">
        <f>SUM(G96:G110)</f>
        <v>255450.88</v>
      </c>
      <c r="H111" s="41">
        <f>SUM(H96:H110)</f>
        <v>5736</v>
      </c>
      <c r="I111" s="41">
        <f>SUM(I96:I110)</f>
        <v>0</v>
      </c>
      <c r="J111" s="41">
        <f>SUM(J96:J110)</f>
        <v>1380.55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8166787.2400000002</v>
      </c>
      <c r="G112" s="41">
        <f>G60+G111</f>
        <v>255450.88</v>
      </c>
      <c r="H112" s="41">
        <f>H60+H79+H94+H111</f>
        <v>5736</v>
      </c>
      <c r="I112" s="41">
        <f>I60+I111</f>
        <v>0</v>
      </c>
      <c r="J112" s="41">
        <f>J60+J111</f>
        <v>1380.55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3261626.83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928055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4189681.83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199689.08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16223.66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3911.78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215912.74</v>
      </c>
      <c r="G136" s="41">
        <f>SUM(G123:G135)</f>
        <v>3911.78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4405594.57</v>
      </c>
      <c r="G140" s="41">
        <f>G121+SUM(G136:G137)</f>
        <v>3911.78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4875</v>
      </c>
      <c r="G146" s="18">
        <v>0</v>
      </c>
      <c r="H146" s="18">
        <v>0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4875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13333.27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71548.63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152269.17000000001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152269.17000000001</v>
      </c>
      <c r="G162" s="41">
        <f>SUM(G150:G161)</f>
        <v>71548.63</v>
      </c>
      <c r="H162" s="41">
        <f>SUM(H150:H161)</f>
        <v>13333.27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157144.17000000001</v>
      </c>
      <c r="G169" s="41">
        <f>G147+G162+SUM(G163:G168)</f>
        <v>71548.63</v>
      </c>
      <c r="H169" s="41">
        <f>H147+H162+SUM(H163:H168)</f>
        <v>13333.27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/>
      <c r="I179" s="18"/>
      <c r="J179" s="18">
        <v>70000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12729525.98</v>
      </c>
      <c r="G193" s="47">
        <f>G112+G140+G169+G192</f>
        <v>330911.29000000004</v>
      </c>
      <c r="H193" s="47">
        <f>H112+H140+H169+H192</f>
        <v>19069.27</v>
      </c>
      <c r="I193" s="47">
        <f>I112+I140+I169+I192</f>
        <v>0</v>
      </c>
      <c r="J193" s="47">
        <f>J112+J140+J192</f>
        <v>71380.55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3206802.34</v>
      </c>
      <c r="G233" s="18">
        <v>1668517.25</v>
      </c>
      <c r="H233" s="18">
        <v>47068.07</v>
      </c>
      <c r="I233" s="18">
        <v>160049.10999999999</v>
      </c>
      <c r="J233" s="18">
        <v>71273.64</v>
      </c>
      <c r="K233" s="18">
        <v>2188.75</v>
      </c>
      <c r="L233" s="19">
        <f>SUM(F233:K233)</f>
        <v>5155899.16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1326226.53</v>
      </c>
      <c r="G234" s="18">
        <v>567333.17000000004</v>
      </c>
      <c r="H234" s="18">
        <v>362749.88</v>
      </c>
      <c r="I234" s="18">
        <v>13040.88</v>
      </c>
      <c r="J234" s="18">
        <v>2331</v>
      </c>
      <c r="K234" s="18">
        <v>15990.54</v>
      </c>
      <c r="L234" s="19">
        <f>SUM(F234:K234)</f>
        <v>2287672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63000</v>
      </c>
      <c r="I235" s="18">
        <v>0</v>
      </c>
      <c r="J235" s="18">
        <v>0</v>
      </c>
      <c r="K235" s="18">
        <v>0</v>
      </c>
      <c r="L235" s="19">
        <f>SUM(F235:K235)</f>
        <v>63000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304058.87</v>
      </c>
      <c r="G236" s="18">
        <v>70539.91</v>
      </c>
      <c r="H236" s="18">
        <v>82939.399999999994</v>
      </c>
      <c r="I236" s="18">
        <v>19684.09</v>
      </c>
      <c r="J236" s="18">
        <v>39311.08</v>
      </c>
      <c r="K236" s="18">
        <v>39571.33</v>
      </c>
      <c r="L236" s="19">
        <f>SUM(F236:K236)</f>
        <v>556104.68000000005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592770.37</v>
      </c>
      <c r="G238" s="18">
        <v>261778.04</v>
      </c>
      <c r="H238" s="18">
        <v>38141.47</v>
      </c>
      <c r="I238" s="18">
        <v>8550.07</v>
      </c>
      <c r="J238" s="18">
        <v>2299.84</v>
      </c>
      <c r="K238" s="18">
        <v>0</v>
      </c>
      <c r="L238" s="19">
        <f t="shared" ref="L238:L244" si="4">SUM(F238:K238)</f>
        <v>903539.78999999992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184336.23</v>
      </c>
      <c r="G239" s="18">
        <v>127877.06</v>
      </c>
      <c r="H239" s="18">
        <v>16907.68</v>
      </c>
      <c r="I239" s="18">
        <v>23287.69</v>
      </c>
      <c r="J239" s="18">
        <v>106259.46</v>
      </c>
      <c r="K239" s="18">
        <v>88242.83</v>
      </c>
      <c r="L239" s="19">
        <f t="shared" si="4"/>
        <v>546910.95000000007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6200</v>
      </c>
      <c r="G240" s="18">
        <v>5153.3999999999996</v>
      </c>
      <c r="H240" s="18">
        <v>415612.77</v>
      </c>
      <c r="I240" s="18">
        <v>3862.33</v>
      </c>
      <c r="J240" s="18">
        <v>0</v>
      </c>
      <c r="K240" s="18">
        <v>7360.4</v>
      </c>
      <c r="L240" s="19">
        <f t="shared" si="4"/>
        <v>438188.90000000008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392921.29</v>
      </c>
      <c r="G241" s="18">
        <v>158432.72</v>
      </c>
      <c r="H241" s="18">
        <v>42418.59</v>
      </c>
      <c r="I241" s="18">
        <v>3678.86</v>
      </c>
      <c r="J241" s="18">
        <v>0</v>
      </c>
      <c r="K241" s="18">
        <v>23512.23</v>
      </c>
      <c r="L241" s="19">
        <f t="shared" si="4"/>
        <v>620963.68999999994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339901.42</v>
      </c>
      <c r="G243" s="18">
        <v>136091.57999999999</v>
      </c>
      <c r="H243" s="18">
        <v>494672.99</v>
      </c>
      <c r="I243" s="18">
        <v>322113.18</v>
      </c>
      <c r="J243" s="18">
        <v>14979.83</v>
      </c>
      <c r="K243" s="18">
        <v>839.95</v>
      </c>
      <c r="L243" s="19">
        <f t="shared" si="4"/>
        <v>1308598.95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510914.82</v>
      </c>
      <c r="I244" s="18">
        <v>0</v>
      </c>
      <c r="J244" s="18">
        <v>0</v>
      </c>
      <c r="K244" s="18">
        <v>0</v>
      </c>
      <c r="L244" s="19">
        <f t="shared" si="4"/>
        <v>510914.82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6353217.0500000007</v>
      </c>
      <c r="G247" s="41">
        <f t="shared" si="5"/>
        <v>2995723.1300000004</v>
      </c>
      <c r="H247" s="41">
        <f t="shared" si="5"/>
        <v>2074425.6700000002</v>
      </c>
      <c r="I247" s="41">
        <f t="shared" si="5"/>
        <v>554266.21</v>
      </c>
      <c r="J247" s="41">
        <f t="shared" si="5"/>
        <v>236454.85</v>
      </c>
      <c r="K247" s="41">
        <f t="shared" si="5"/>
        <v>177706.03000000003</v>
      </c>
      <c r="L247" s="41">
        <f t="shared" si="5"/>
        <v>12391792.939999998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0</v>
      </c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6353217.0500000007</v>
      </c>
      <c r="G257" s="41">
        <f t="shared" si="8"/>
        <v>2995723.1300000004</v>
      </c>
      <c r="H257" s="41">
        <f t="shared" si="8"/>
        <v>2074425.6700000002</v>
      </c>
      <c r="I257" s="41">
        <f t="shared" si="8"/>
        <v>554266.21</v>
      </c>
      <c r="J257" s="41">
        <f t="shared" si="8"/>
        <v>236454.85</v>
      </c>
      <c r="K257" s="41">
        <f t="shared" si="8"/>
        <v>177706.03000000003</v>
      </c>
      <c r="L257" s="41">
        <f t="shared" si="8"/>
        <v>12391792.939999998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70000</v>
      </c>
      <c r="L266" s="19">
        <f t="shared" si="9"/>
        <v>70000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70000</v>
      </c>
      <c r="L270" s="41">
        <f t="shared" si="9"/>
        <v>70000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6353217.0500000007</v>
      </c>
      <c r="G271" s="42">
        <f t="shared" si="11"/>
        <v>2995723.1300000004</v>
      </c>
      <c r="H271" s="42">
        <f t="shared" si="11"/>
        <v>2074425.6700000002</v>
      </c>
      <c r="I271" s="42">
        <f t="shared" si="11"/>
        <v>554266.21</v>
      </c>
      <c r="J271" s="42">
        <f t="shared" si="11"/>
        <v>236454.85</v>
      </c>
      <c r="K271" s="42">
        <f t="shared" si="11"/>
        <v>247706.03000000003</v>
      </c>
      <c r="L271" s="42">
        <f t="shared" si="11"/>
        <v>12461792.939999998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4528.51</v>
      </c>
      <c r="J314" s="18">
        <v>0</v>
      </c>
      <c r="K314" s="18">
        <v>0</v>
      </c>
      <c r="L314" s="19">
        <f>SUM(F314:K314)</f>
        <v>4528.51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163.79</v>
      </c>
      <c r="J317" s="18">
        <v>0</v>
      </c>
      <c r="K317" s="18">
        <v>0</v>
      </c>
      <c r="L317" s="19">
        <f>SUM(F317:K317)</f>
        <v>163.79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7462.24</v>
      </c>
      <c r="G320" s="18">
        <v>1633.29</v>
      </c>
      <c r="H320" s="18">
        <v>3914.95</v>
      </c>
      <c r="I320" s="18">
        <v>0</v>
      </c>
      <c r="J320" s="18">
        <v>0</v>
      </c>
      <c r="K320" s="18">
        <v>0</v>
      </c>
      <c r="L320" s="19">
        <f t="shared" si="16"/>
        <v>13010.48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322.79000000000002</v>
      </c>
      <c r="L321" s="19">
        <f t="shared" si="16"/>
        <v>322.79000000000002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7462.24</v>
      </c>
      <c r="G328" s="42">
        <f t="shared" si="17"/>
        <v>1633.29</v>
      </c>
      <c r="H328" s="42">
        <f t="shared" si="17"/>
        <v>3914.95</v>
      </c>
      <c r="I328" s="42">
        <f t="shared" si="17"/>
        <v>4692.3</v>
      </c>
      <c r="J328" s="42">
        <f t="shared" si="17"/>
        <v>0</v>
      </c>
      <c r="K328" s="42">
        <f t="shared" si="17"/>
        <v>322.79000000000002</v>
      </c>
      <c r="L328" s="41">
        <f t="shared" si="17"/>
        <v>18025.57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7462.24</v>
      </c>
      <c r="G338" s="41">
        <f t="shared" si="20"/>
        <v>1633.29</v>
      </c>
      <c r="H338" s="41">
        <f t="shared" si="20"/>
        <v>3914.95</v>
      </c>
      <c r="I338" s="41">
        <f t="shared" si="20"/>
        <v>4692.3</v>
      </c>
      <c r="J338" s="41">
        <f t="shared" si="20"/>
        <v>0</v>
      </c>
      <c r="K338" s="41">
        <f t="shared" si="20"/>
        <v>322.79000000000002</v>
      </c>
      <c r="L338" s="41">
        <f t="shared" si="20"/>
        <v>18025.57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7462.24</v>
      </c>
      <c r="G352" s="41">
        <f>G338</f>
        <v>1633.29</v>
      </c>
      <c r="H352" s="41">
        <f>H338</f>
        <v>3914.95</v>
      </c>
      <c r="I352" s="41">
        <f>I338</f>
        <v>4692.3</v>
      </c>
      <c r="J352" s="41">
        <f>J338</f>
        <v>0</v>
      </c>
      <c r="K352" s="47">
        <f>K338+K351</f>
        <v>322.79000000000002</v>
      </c>
      <c r="L352" s="41">
        <f>L338+L351</f>
        <v>18025.57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100412.02</v>
      </c>
      <c r="G360" s="18">
        <v>31478.11</v>
      </c>
      <c r="H360" s="18">
        <v>2976.63</v>
      </c>
      <c r="I360" s="18">
        <v>173868.72</v>
      </c>
      <c r="J360" s="18">
        <v>17428.759999999998</v>
      </c>
      <c r="K360" s="18">
        <v>1506.05</v>
      </c>
      <c r="L360" s="19">
        <f>SUM(F360:K360)</f>
        <v>327670.28999999998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100412.02</v>
      </c>
      <c r="G362" s="47">
        <f t="shared" si="22"/>
        <v>31478.11</v>
      </c>
      <c r="H362" s="47">
        <f t="shared" si="22"/>
        <v>2976.63</v>
      </c>
      <c r="I362" s="47">
        <f t="shared" si="22"/>
        <v>173868.72</v>
      </c>
      <c r="J362" s="47">
        <f t="shared" si="22"/>
        <v>17428.759999999998</v>
      </c>
      <c r="K362" s="47">
        <f t="shared" si="22"/>
        <v>1506.05</v>
      </c>
      <c r="L362" s="47">
        <f t="shared" si="22"/>
        <v>327670.28999999998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v>146361.32999999999</v>
      </c>
      <c r="I367" s="56">
        <f>SUM(F367:H367)</f>
        <v>146361.32999999999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27507.39</v>
      </c>
      <c r="I368" s="56">
        <f>SUM(F368:H368)</f>
        <v>27507.39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173868.71999999997</v>
      </c>
      <c r="I369" s="47">
        <f>SUM(I367:I368)</f>
        <v>173868.71999999997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156.96</v>
      </c>
      <c r="I389" s="18"/>
      <c r="J389" s="24" t="s">
        <v>289</v>
      </c>
      <c r="K389" s="24" t="s">
        <v>289</v>
      </c>
      <c r="L389" s="56">
        <f t="shared" si="25"/>
        <v>156.96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156.96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156.96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70000</v>
      </c>
      <c r="H396" s="18">
        <v>922.28</v>
      </c>
      <c r="I396" s="18"/>
      <c r="J396" s="24" t="s">
        <v>289</v>
      </c>
      <c r="K396" s="24" t="s">
        <v>289</v>
      </c>
      <c r="L396" s="56">
        <f t="shared" si="26"/>
        <v>70922.28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301.31</v>
      </c>
      <c r="I397" s="18"/>
      <c r="J397" s="24" t="s">
        <v>289</v>
      </c>
      <c r="K397" s="24" t="s">
        <v>289</v>
      </c>
      <c r="L397" s="56">
        <f t="shared" si="26"/>
        <v>301.31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0</v>
      </c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70000</v>
      </c>
      <c r="H401" s="47">
        <f>SUM(H395:H400)</f>
        <v>1223.5899999999999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71223.59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70000</v>
      </c>
      <c r="H408" s="47">
        <f>H393+H401+H407</f>
        <v>1380.55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71380.55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0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611908.27</v>
      </c>
      <c r="H439" s="18"/>
      <c r="I439" s="56">
        <f t="shared" ref="I439:I445" si="33">SUM(F439:H439)</f>
        <v>611908.27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611908.27</v>
      </c>
      <c r="H446" s="13">
        <f>SUM(H439:H445)</f>
        <v>0</v>
      </c>
      <c r="I446" s="13">
        <f>SUM(I439:I445)</f>
        <v>611908.27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611908.27</v>
      </c>
      <c r="H459" s="18"/>
      <c r="I459" s="56">
        <f t="shared" si="34"/>
        <v>611908.27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611908.27</v>
      </c>
      <c r="H460" s="83">
        <f>SUM(H454:H459)</f>
        <v>0</v>
      </c>
      <c r="I460" s="83">
        <f>SUM(I454:I459)</f>
        <v>611908.27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611908.27</v>
      </c>
      <c r="H461" s="42">
        <f>H452+H460</f>
        <v>0</v>
      </c>
      <c r="I461" s="42">
        <f>I452+I460</f>
        <v>611908.27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297536.46000000002</v>
      </c>
      <c r="G465" s="18">
        <v>19438.189999999999</v>
      </c>
      <c r="H465" s="18">
        <v>163.79</v>
      </c>
      <c r="I465" s="18">
        <v>0</v>
      </c>
      <c r="J465" s="18">
        <v>540527.72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12729525.98</v>
      </c>
      <c r="G468" s="18">
        <v>330911.28999999998</v>
      </c>
      <c r="H468" s="18">
        <v>19069.27</v>
      </c>
      <c r="I468" s="18">
        <v>0</v>
      </c>
      <c r="J468" s="18">
        <v>71380.55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10203.459999999999</v>
      </c>
      <c r="G469" s="18">
        <v>4320.3500000000004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12739729.440000001</v>
      </c>
      <c r="G470" s="53">
        <f>SUM(G468:G469)</f>
        <v>335231.63999999996</v>
      </c>
      <c r="H470" s="53">
        <f>SUM(H468:H469)</f>
        <v>19069.27</v>
      </c>
      <c r="I470" s="53">
        <f>SUM(I468:I469)</f>
        <v>0</v>
      </c>
      <c r="J470" s="53">
        <f>SUM(J468:J469)</f>
        <v>71380.55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12461792.939999999</v>
      </c>
      <c r="G472" s="18">
        <v>327670.28999999998</v>
      </c>
      <c r="H472" s="18">
        <v>18025.57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1246.69</v>
      </c>
      <c r="G473" s="18">
        <v>900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12463039.629999999</v>
      </c>
      <c r="G474" s="53">
        <f>SUM(G472:G473)</f>
        <v>328570.28999999998</v>
      </c>
      <c r="H474" s="53">
        <f>SUM(H472:H473)</f>
        <v>18025.57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574226.27000000328</v>
      </c>
      <c r="G476" s="53">
        <f>(G465+G470)- G474</f>
        <v>26099.539999999979</v>
      </c>
      <c r="H476" s="53">
        <f>(H465+H470)- H474</f>
        <v>1207.4900000000016</v>
      </c>
      <c r="I476" s="53">
        <f>(I465+I470)- I474</f>
        <v>0</v>
      </c>
      <c r="J476" s="53">
        <f>(J465+J470)- J474</f>
        <v>611908.27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302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1326226.53</v>
      </c>
      <c r="G523" s="18">
        <v>567333.17000000004</v>
      </c>
      <c r="H523" s="18">
        <v>362749.88</v>
      </c>
      <c r="I523" s="18">
        <v>13040.88</v>
      </c>
      <c r="J523" s="18">
        <v>2331</v>
      </c>
      <c r="K523" s="18">
        <v>15990.54</v>
      </c>
      <c r="L523" s="88">
        <f>SUM(F523:K523)</f>
        <v>2287672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1326226.53</v>
      </c>
      <c r="G524" s="108">
        <f t="shared" ref="G524:L524" si="36">SUM(G521:G523)</f>
        <v>567333.17000000004</v>
      </c>
      <c r="H524" s="108">
        <f t="shared" si="36"/>
        <v>362749.88</v>
      </c>
      <c r="I524" s="108">
        <f t="shared" si="36"/>
        <v>13040.88</v>
      </c>
      <c r="J524" s="108">
        <f t="shared" si="36"/>
        <v>2331</v>
      </c>
      <c r="K524" s="108">
        <f t="shared" si="36"/>
        <v>15990.54</v>
      </c>
      <c r="L524" s="89">
        <f t="shared" si="36"/>
        <v>2287672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126963</v>
      </c>
      <c r="G528" s="18">
        <v>56311.34</v>
      </c>
      <c r="H528" s="18">
        <v>26655.279999999999</v>
      </c>
      <c r="I528" s="18">
        <v>0</v>
      </c>
      <c r="J528" s="18">
        <v>0</v>
      </c>
      <c r="K528" s="18">
        <v>0</v>
      </c>
      <c r="L528" s="88">
        <f>SUM(F528:K528)</f>
        <v>209929.62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126963</v>
      </c>
      <c r="G529" s="89">
        <f t="shared" ref="G529:L529" si="37">SUM(G526:G528)</f>
        <v>56311.34</v>
      </c>
      <c r="H529" s="89">
        <f t="shared" si="37"/>
        <v>26655.279999999999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209929.62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56722.02</v>
      </c>
      <c r="I533" s="18"/>
      <c r="J533" s="18"/>
      <c r="K533" s="18"/>
      <c r="L533" s="88">
        <f>SUM(F533:K533)</f>
        <v>56722.02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56722.02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56722.02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1473.03</v>
      </c>
      <c r="I538" s="18"/>
      <c r="J538" s="18"/>
      <c r="K538" s="18"/>
      <c r="L538" s="88">
        <f>SUM(F538:K538)</f>
        <v>1473.03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1473.03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1473.03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232203.54</v>
      </c>
      <c r="I543" s="18"/>
      <c r="J543" s="18"/>
      <c r="K543" s="18"/>
      <c r="L543" s="88">
        <f>SUM(F543:K543)</f>
        <v>232203.54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232203.54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232203.54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1453189.53</v>
      </c>
      <c r="G545" s="89">
        <f t="shared" ref="G545:L545" si="41">G524+G529+G534+G539+G544</f>
        <v>623644.51</v>
      </c>
      <c r="H545" s="89">
        <f t="shared" si="41"/>
        <v>679803.75000000012</v>
      </c>
      <c r="I545" s="89">
        <f t="shared" si="41"/>
        <v>13040.88</v>
      </c>
      <c r="J545" s="89">
        <f t="shared" si="41"/>
        <v>2331</v>
      </c>
      <c r="K545" s="89">
        <f t="shared" si="41"/>
        <v>15990.54</v>
      </c>
      <c r="L545" s="89">
        <f t="shared" si="41"/>
        <v>2788000.21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2287672</v>
      </c>
      <c r="G551" s="87">
        <f>L528</f>
        <v>209929.62</v>
      </c>
      <c r="H551" s="87">
        <f>L533</f>
        <v>56722.02</v>
      </c>
      <c r="I551" s="87">
        <f>L538</f>
        <v>1473.03</v>
      </c>
      <c r="J551" s="87">
        <f>L543</f>
        <v>232203.54</v>
      </c>
      <c r="K551" s="87">
        <f>SUM(F551:J551)</f>
        <v>2788000.21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2287672</v>
      </c>
      <c r="G552" s="89">
        <f t="shared" si="42"/>
        <v>209929.62</v>
      </c>
      <c r="H552" s="89">
        <f t="shared" si="42"/>
        <v>56722.02</v>
      </c>
      <c r="I552" s="89">
        <f t="shared" si="42"/>
        <v>1473.03</v>
      </c>
      <c r="J552" s="89">
        <f t="shared" si="42"/>
        <v>232203.54</v>
      </c>
      <c r="K552" s="89">
        <f t="shared" si="42"/>
        <v>2788000.21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223430.25</v>
      </c>
      <c r="I582" s="87">
        <f t="shared" si="47"/>
        <v>223430.25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90216.92</v>
      </c>
      <c r="I583" s="87">
        <f t="shared" si="47"/>
        <v>90216.92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63000</v>
      </c>
      <c r="I584" s="87">
        <f t="shared" si="47"/>
        <v>63000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132283.13</v>
      </c>
      <c r="K591" s="104">
        <f t="shared" ref="K591:K597" si="48">SUM(H591:J591)</f>
        <v>132283.13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232203.54</v>
      </c>
      <c r="K592" s="104">
        <f t="shared" si="48"/>
        <v>232203.54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39165.120000000003</v>
      </c>
      <c r="K593" s="104">
        <f t="shared" si="48"/>
        <v>39165.120000000003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72009.179999999993</v>
      </c>
      <c r="K594" s="104">
        <f t="shared" si="48"/>
        <v>72009.179999999993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35137.47</v>
      </c>
      <c r="K595" s="104">
        <f t="shared" si="48"/>
        <v>35137.47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116.38</v>
      </c>
      <c r="K597" s="104">
        <f t="shared" si="48"/>
        <v>116.38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510914.82000000007</v>
      </c>
      <c r="K598" s="108">
        <f>SUM(K591:K597)</f>
        <v>510914.82000000007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v>236454.85</v>
      </c>
      <c r="K604" s="104">
        <f>SUM(H604:J604)</f>
        <v>236454.85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236454.85</v>
      </c>
      <c r="K605" s="108">
        <f>SUM(K602:K604)</f>
        <v>236454.85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46058.84</v>
      </c>
      <c r="G613" s="18">
        <v>8899.34</v>
      </c>
      <c r="H613" s="18">
        <v>0</v>
      </c>
      <c r="I613" s="18">
        <v>240.41</v>
      </c>
      <c r="J613" s="18">
        <v>0</v>
      </c>
      <c r="K613" s="18">
        <v>0</v>
      </c>
      <c r="L613" s="88">
        <f>SUM(F613:K613)</f>
        <v>55198.59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46058.84</v>
      </c>
      <c r="G614" s="108">
        <f t="shared" si="49"/>
        <v>8899.34</v>
      </c>
      <c r="H614" s="108">
        <f t="shared" si="49"/>
        <v>0</v>
      </c>
      <c r="I614" s="108">
        <f t="shared" si="49"/>
        <v>240.41</v>
      </c>
      <c r="J614" s="108">
        <f t="shared" si="49"/>
        <v>0</v>
      </c>
      <c r="K614" s="108">
        <f t="shared" si="49"/>
        <v>0</v>
      </c>
      <c r="L614" s="89">
        <f t="shared" si="49"/>
        <v>55198.59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802059.57000000007</v>
      </c>
      <c r="H617" s="109">
        <f>SUM(F52)</f>
        <v>802059.57000000007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31483.200000000001</v>
      </c>
      <c r="H618" s="109">
        <f>SUM(G52)</f>
        <v>31483.200000000001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1207.4899999999998</v>
      </c>
      <c r="H619" s="109">
        <f>SUM(H52)</f>
        <v>1207.49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611908.27</v>
      </c>
      <c r="H621" s="109">
        <f>SUM(J52)</f>
        <v>611908.27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574226.27</v>
      </c>
      <c r="H622" s="109">
        <f>F476</f>
        <v>574226.27000000328</v>
      </c>
      <c r="I622" s="121" t="s">
        <v>101</v>
      </c>
      <c r="J622" s="109">
        <f t="shared" ref="J622:J655" si="50">G622-H622</f>
        <v>-3.2596290111541748E-9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26099.54</v>
      </c>
      <c r="H623" s="109">
        <f>G476</f>
        <v>26099.539999999979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1207.49</v>
      </c>
      <c r="H624" s="109">
        <f>H476</f>
        <v>1207.4900000000016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611908.27</v>
      </c>
      <c r="H626" s="109">
        <f>J476</f>
        <v>611908.27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12729525.98</v>
      </c>
      <c r="H627" s="104">
        <f>SUM(F468)</f>
        <v>12729525.98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330911.29000000004</v>
      </c>
      <c r="H628" s="104">
        <f>SUM(G468)</f>
        <v>330911.28999999998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19069.27</v>
      </c>
      <c r="H629" s="104">
        <f>SUM(H468)</f>
        <v>19069.27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71380.55</v>
      </c>
      <c r="H631" s="104">
        <f>SUM(J468)</f>
        <v>71380.55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12461792.939999998</v>
      </c>
      <c r="H632" s="104">
        <f>SUM(F472)</f>
        <v>12461792.939999999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18025.57</v>
      </c>
      <c r="H633" s="104">
        <f>SUM(H472)</f>
        <v>18025.57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173868.72</v>
      </c>
      <c r="H634" s="104">
        <f>I369</f>
        <v>173868.71999999997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327670.28999999998</v>
      </c>
      <c r="H635" s="104">
        <f>SUM(G472)</f>
        <v>327670.28999999998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71380.55</v>
      </c>
      <c r="H637" s="164">
        <f>SUM(J468)</f>
        <v>71380.55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611908.27</v>
      </c>
      <c r="H640" s="104">
        <f>SUM(G461)</f>
        <v>611908.27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611908.27</v>
      </c>
      <c r="H642" s="104">
        <f>SUM(I461)</f>
        <v>611908.27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1380.55</v>
      </c>
      <c r="H644" s="104">
        <f>H408</f>
        <v>1380.55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70000</v>
      </c>
      <c r="H645" s="104">
        <f>G408</f>
        <v>70000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71380.55</v>
      </c>
      <c r="H646" s="104">
        <f>L408</f>
        <v>71380.55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510914.82000000007</v>
      </c>
      <c r="H647" s="104">
        <f>L208+L226+L244</f>
        <v>510914.82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236454.85</v>
      </c>
      <c r="H648" s="104">
        <f>(J257+J338)-(J255+J336)</f>
        <v>236454.85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510914.82</v>
      </c>
      <c r="H651" s="104">
        <f>J598</f>
        <v>510914.82000000007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70000</v>
      </c>
      <c r="H655" s="104">
        <f>K266+K347</f>
        <v>70000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12737488.799999997</v>
      </c>
      <c r="I660" s="19">
        <f>SUM(F660:H660)</f>
        <v>12737488.799999997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255450.88</v>
      </c>
      <c r="I661" s="19">
        <f>SUM(F661:H661)</f>
        <v>255450.88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510914.82</v>
      </c>
      <c r="I662" s="19">
        <f>SUM(F662:H662)</f>
        <v>510914.82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668300.61</v>
      </c>
      <c r="I663" s="19">
        <f>SUM(F663:H663)</f>
        <v>668300.61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11302822.489999996</v>
      </c>
      <c r="I664" s="19">
        <f>I660-SUM(I661:I663)</f>
        <v>11302822.489999996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18">
        <v>682.44</v>
      </c>
      <c r="I665" s="19">
        <f>SUM(F665:H665)</f>
        <v>682.44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16562.37</v>
      </c>
      <c r="I667" s="19">
        <f>ROUND(I664/I665,2)</f>
        <v>16562.37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-12</v>
      </c>
      <c r="I670" s="19">
        <f>SUM(F670:H670)</f>
        <v>-12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16858.810000000001</v>
      </c>
      <c r="I672" s="19">
        <f>ROUND((I664+I669)/(I665+I670),2)</f>
        <v>16858.810000000001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3" sqref="B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JOHN STARK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3206802.34</v>
      </c>
      <c r="C9" s="229">
        <f>'DOE25'!G197+'DOE25'!G215+'DOE25'!G233+'DOE25'!G276+'DOE25'!G295+'DOE25'!G314</f>
        <v>1668517.25</v>
      </c>
    </row>
    <row r="10" spans="1:3" x14ac:dyDescent="0.2">
      <c r="A10" t="s">
        <v>779</v>
      </c>
      <c r="B10" s="240">
        <v>3140082.81</v>
      </c>
      <c r="C10" s="240">
        <v>1656330.36</v>
      </c>
    </row>
    <row r="11" spans="1:3" x14ac:dyDescent="0.2">
      <c r="A11" t="s">
        <v>780</v>
      </c>
      <c r="B11" s="240">
        <v>30784.53</v>
      </c>
      <c r="C11" s="240">
        <v>9439.02</v>
      </c>
    </row>
    <row r="12" spans="1:3" x14ac:dyDescent="0.2">
      <c r="A12" t="s">
        <v>781</v>
      </c>
      <c r="B12" s="240">
        <v>35935</v>
      </c>
      <c r="C12" s="240">
        <v>2747.87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3206802.34</v>
      </c>
      <c r="C13" s="231">
        <f>SUM(C10:C12)</f>
        <v>1668517.2500000002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1326226.53</v>
      </c>
      <c r="C18" s="229">
        <f>'DOE25'!G198+'DOE25'!G216+'DOE25'!G234+'DOE25'!G277+'DOE25'!G296+'DOE25'!G315</f>
        <v>567333.17000000004</v>
      </c>
    </row>
    <row r="19" spans="1:3" x14ac:dyDescent="0.2">
      <c r="A19" t="s">
        <v>779</v>
      </c>
      <c r="B19" s="240">
        <v>894701.82</v>
      </c>
      <c r="C19" s="240">
        <v>488845.51</v>
      </c>
    </row>
    <row r="20" spans="1:3" x14ac:dyDescent="0.2">
      <c r="A20" t="s">
        <v>780</v>
      </c>
      <c r="B20" s="240">
        <v>407348.24</v>
      </c>
      <c r="C20" s="240">
        <v>70831.31</v>
      </c>
    </row>
    <row r="21" spans="1:3" x14ac:dyDescent="0.2">
      <c r="A21" t="s">
        <v>781</v>
      </c>
      <c r="B21" s="240">
        <v>24176.47</v>
      </c>
      <c r="C21" s="240">
        <v>7656.35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1326226.53</v>
      </c>
      <c r="C22" s="231">
        <f>SUM(C19:C21)</f>
        <v>567333.17000000004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304058.87</v>
      </c>
      <c r="C36" s="235">
        <f>'DOE25'!G200+'DOE25'!G218+'DOE25'!G236+'DOE25'!G279+'DOE25'!G298+'DOE25'!G317</f>
        <v>70539.91</v>
      </c>
    </row>
    <row r="37" spans="1:3" x14ac:dyDescent="0.2">
      <c r="A37" t="s">
        <v>779</v>
      </c>
      <c r="B37" s="240">
        <v>205562.78</v>
      </c>
      <c r="C37" s="240">
        <v>63485.919999999998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98496.09</v>
      </c>
      <c r="C39" s="240">
        <v>7053.99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304058.87</v>
      </c>
      <c r="C40" s="231">
        <f>SUM(C37:C39)</f>
        <v>70539.91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JOHN STARK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8062675.8399999999</v>
      </c>
      <c r="D5" s="20">
        <f>SUM('DOE25'!L197:L200)+SUM('DOE25'!L215:L218)+SUM('DOE25'!L233:L236)-F5-G5</f>
        <v>7892009.5</v>
      </c>
      <c r="E5" s="243"/>
      <c r="F5" s="255">
        <f>SUM('DOE25'!J197:J200)+SUM('DOE25'!J215:J218)+SUM('DOE25'!J233:J236)</f>
        <v>112915.72</v>
      </c>
      <c r="G5" s="53">
        <f>SUM('DOE25'!K197:K200)+SUM('DOE25'!K215:K218)+SUM('DOE25'!K233:K236)</f>
        <v>57750.62</v>
      </c>
      <c r="H5" s="259"/>
    </row>
    <row r="6" spans="1:9" x14ac:dyDescent="0.2">
      <c r="A6" s="32">
        <v>2100</v>
      </c>
      <c r="B6" t="s">
        <v>801</v>
      </c>
      <c r="C6" s="245">
        <f t="shared" si="0"/>
        <v>903539.78999999992</v>
      </c>
      <c r="D6" s="20">
        <f>'DOE25'!L202+'DOE25'!L220+'DOE25'!L238-F6-G6</f>
        <v>901239.95</v>
      </c>
      <c r="E6" s="243"/>
      <c r="F6" s="255">
        <f>'DOE25'!J202+'DOE25'!J220+'DOE25'!J238</f>
        <v>2299.84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546910.95000000007</v>
      </c>
      <c r="D7" s="20">
        <f>'DOE25'!L203+'DOE25'!L221+'DOE25'!L239-F7-G7</f>
        <v>352408.66000000003</v>
      </c>
      <c r="E7" s="243"/>
      <c r="F7" s="255">
        <f>'DOE25'!J203+'DOE25'!J221+'DOE25'!J239</f>
        <v>106259.46</v>
      </c>
      <c r="G7" s="53">
        <f>'DOE25'!K203+'DOE25'!K221+'DOE25'!K239</f>
        <v>88242.83</v>
      </c>
      <c r="H7" s="259"/>
    </row>
    <row r="8" spans="1:9" x14ac:dyDescent="0.2">
      <c r="A8" s="32">
        <v>2300</v>
      </c>
      <c r="B8" t="s">
        <v>802</v>
      </c>
      <c r="C8" s="245">
        <f t="shared" si="0"/>
        <v>291775.41000000003</v>
      </c>
      <c r="D8" s="243"/>
      <c r="E8" s="20">
        <f>'DOE25'!L204+'DOE25'!L222+'DOE25'!L240-F8-G8-D9-D11</f>
        <v>284415.01</v>
      </c>
      <c r="F8" s="255">
        <f>'DOE25'!J204+'DOE25'!J222+'DOE25'!J240</f>
        <v>0</v>
      </c>
      <c r="G8" s="53">
        <f>'DOE25'!K204+'DOE25'!K222+'DOE25'!K240</f>
        <v>7360.4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34496.97</v>
      </c>
      <c r="D9" s="244">
        <v>34496.97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7863.75</v>
      </c>
      <c r="D10" s="243"/>
      <c r="E10" s="244">
        <v>7863.75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111916.52</v>
      </c>
      <c r="D11" s="244">
        <v>111916.52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620963.68999999994</v>
      </c>
      <c r="D12" s="20">
        <f>'DOE25'!L205+'DOE25'!L223+'DOE25'!L241-F12-G12</f>
        <v>597451.46</v>
      </c>
      <c r="E12" s="243"/>
      <c r="F12" s="255">
        <f>'DOE25'!J205+'DOE25'!J223+'DOE25'!J241</f>
        <v>0</v>
      </c>
      <c r="G12" s="53">
        <f>'DOE25'!K205+'DOE25'!K223+'DOE25'!K241</f>
        <v>23512.23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1308598.95</v>
      </c>
      <c r="D14" s="20">
        <f>'DOE25'!L207+'DOE25'!L225+'DOE25'!L243-F14-G14</f>
        <v>1292779.17</v>
      </c>
      <c r="E14" s="243"/>
      <c r="F14" s="255">
        <f>'DOE25'!J207+'DOE25'!J225+'DOE25'!J243</f>
        <v>14979.83</v>
      </c>
      <c r="G14" s="53">
        <f>'DOE25'!K207+'DOE25'!K225+'DOE25'!K243</f>
        <v>839.95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510914.82</v>
      </c>
      <c r="D15" s="20">
        <f>'DOE25'!L208+'DOE25'!L226+'DOE25'!L244-F15-G15</f>
        <v>510914.82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181308.96</v>
      </c>
      <c r="D29" s="20">
        <f>'DOE25'!L358+'DOE25'!L359+'DOE25'!L360-'DOE25'!I367-F29-G29</f>
        <v>162374.15</v>
      </c>
      <c r="E29" s="243"/>
      <c r="F29" s="255">
        <f>'DOE25'!J358+'DOE25'!J359+'DOE25'!J360</f>
        <v>17428.759999999998</v>
      </c>
      <c r="G29" s="53">
        <f>'DOE25'!K358+'DOE25'!K359+'DOE25'!K360</f>
        <v>1506.05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18025.57</v>
      </c>
      <c r="D31" s="20">
        <f>'DOE25'!L290+'DOE25'!L309+'DOE25'!L328+'DOE25'!L333+'DOE25'!L334+'DOE25'!L335-F31-G31</f>
        <v>17702.78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322.79000000000002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11873293.979999999</v>
      </c>
      <c r="E33" s="246">
        <f>SUM(E5:E31)</f>
        <v>292278.76</v>
      </c>
      <c r="F33" s="246">
        <f>SUM(F5:F31)</f>
        <v>253883.61000000002</v>
      </c>
      <c r="G33" s="246">
        <f>SUM(G5:G31)</f>
        <v>179534.87000000002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292278.76</v>
      </c>
      <c r="E35" s="249"/>
    </row>
    <row r="36" spans="2:8" ht="12" thickTop="1" x14ac:dyDescent="0.2">
      <c r="B36" t="s">
        <v>815</v>
      </c>
      <c r="D36" s="20">
        <f>D33</f>
        <v>11873293.979999999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JOHN STARK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801650.02</v>
      </c>
      <c r="D8" s="95">
        <f>'DOE25'!G9</f>
        <v>27874.52</v>
      </c>
      <c r="E8" s="95">
        <f>'DOE25'!H9</f>
        <v>-6789.26</v>
      </c>
      <c r="F8" s="95">
        <f>'DOE25'!I9</f>
        <v>0</v>
      </c>
      <c r="G8" s="95">
        <f>'DOE25'!J9</f>
        <v>611908.27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3608.68</v>
      </c>
      <c r="E12" s="95">
        <f>'DOE25'!H13</f>
        <v>7996.75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409.55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802059.57000000007</v>
      </c>
      <c r="D18" s="41">
        <f>SUM(D8:D17)</f>
        <v>31483.200000000001</v>
      </c>
      <c r="E18" s="41">
        <f>SUM(E8:E17)</f>
        <v>1207.4899999999998</v>
      </c>
      <c r="F18" s="41">
        <f>SUM(F8:F17)</f>
        <v>0</v>
      </c>
      <c r="G18" s="41">
        <f>SUM(G8:G17)</f>
        <v>611908.27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56428.6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117388.14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30026.93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23989.63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5383.66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227833.3</v>
      </c>
      <c r="D31" s="41">
        <f>SUM(D21:D30)</f>
        <v>5383.66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26099.54</v>
      </c>
      <c r="E47" s="95">
        <f>'DOE25'!H48</f>
        <v>1207.49</v>
      </c>
      <c r="F47" s="95">
        <f>'DOE25'!I48</f>
        <v>0</v>
      </c>
      <c r="G47" s="95">
        <f>'DOE25'!J48</f>
        <v>611908.27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524226.27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574226.27</v>
      </c>
      <c r="D50" s="41">
        <f>SUM(D34:D49)</f>
        <v>26099.54</v>
      </c>
      <c r="E50" s="41">
        <f>SUM(E34:E49)</f>
        <v>1207.49</v>
      </c>
      <c r="F50" s="41">
        <f>SUM(F34:F49)</f>
        <v>0</v>
      </c>
      <c r="G50" s="41">
        <f>SUM(G34:G49)</f>
        <v>611908.27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802059.57000000007</v>
      </c>
      <c r="D51" s="41">
        <f>D50+D31</f>
        <v>31483.200000000001</v>
      </c>
      <c r="E51" s="41">
        <f>E50+E31</f>
        <v>1207.49</v>
      </c>
      <c r="F51" s="41">
        <f>F50+F31</f>
        <v>0</v>
      </c>
      <c r="G51" s="41">
        <f>G50+G31</f>
        <v>611908.27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7981609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43401.29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1380.55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253950.88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141776.95000000001</v>
      </c>
      <c r="D61" s="95">
        <f>SUM('DOE25'!G98:G110)</f>
        <v>1500</v>
      </c>
      <c r="E61" s="95">
        <f>SUM('DOE25'!H98:H110)</f>
        <v>5736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185178.24000000002</v>
      </c>
      <c r="D62" s="130">
        <f>SUM(D57:D61)</f>
        <v>255450.88</v>
      </c>
      <c r="E62" s="130">
        <f>SUM(E57:E61)</f>
        <v>5736</v>
      </c>
      <c r="F62" s="130">
        <f>SUM(F57:F61)</f>
        <v>0</v>
      </c>
      <c r="G62" s="130">
        <f>SUM(G57:G61)</f>
        <v>1380.55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8166787.2400000002</v>
      </c>
      <c r="D63" s="22">
        <f>D56+D62</f>
        <v>255450.88</v>
      </c>
      <c r="E63" s="22">
        <f>E56+E62</f>
        <v>5736</v>
      </c>
      <c r="F63" s="22">
        <f>F56+F62</f>
        <v>0</v>
      </c>
      <c r="G63" s="22">
        <f>G56+G62</f>
        <v>1380.55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3261626.83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928055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4189681.83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199689.08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16223.66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3911.78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215912.74</v>
      </c>
      <c r="D78" s="130">
        <f>SUM(D72:D77)</f>
        <v>3911.78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4405594.57</v>
      </c>
      <c r="D81" s="130">
        <f>SUM(D79:D80)+D78+D70</f>
        <v>3911.78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4875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152269.17000000001</v>
      </c>
      <c r="D88" s="95">
        <f>SUM('DOE25'!G153:G161)</f>
        <v>71548.63</v>
      </c>
      <c r="E88" s="95">
        <f>SUM('DOE25'!H153:H161)</f>
        <v>13333.27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157144.17000000001</v>
      </c>
      <c r="D91" s="131">
        <f>SUM(D85:D90)</f>
        <v>71548.63</v>
      </c>
      <c r="E91" s="131">
        <f>SUM(E85:E90)</f>
        <v>13333.27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70000</v>
      </c>
    </row>
    <row r="104" spans="1:7" ht="12.75" thickTop="1" thickBot="1" x14ac:dyDescent="0.25">
      <c r="A104" s="33" t="s">
        <v>765</v>
      </c>
      <c r="C104" s="86">
        <f>C63+C81+C91+C103</f>
        <v>12729525.98</v>
      </c>
      <c r="D104" s="86">
        <f>D63+D81+D91+D103</f>
        <v>330911.29000000004</v>
      </c>
      <c r="E104" s="86">
        <f>E63+E81+E91+E103</f>
        <v>19069.27</v>
      </c>
      <c r="F104" s="86">
        <f>F63+F81+F91+F103</f>
        <v>0</v>
      </c>
      <c r="G104" s="86">
        <f>G63+G81+G103</f>
        <v>71380.55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5155899.16</v>
      </c>
      <c r="D109" s="24" t="s">
        <v>289</v>
      </c>
      <c r="E109" s="95">
        <f>('DOE25'!L276)+('DOE25'!L295)+('DOE25'!L314)</f>
        <v>4528.51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2287672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63000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556104.68000000005</v>
      </c>
      <c r="D112" s="24" t="s">
        <v>289</v>
      </c>
      <c r="E112" s="95">
        <f>+('DOE25'!L279)+('DOE25'!L298)+('DOE25'!L317)</f>
        <v>163.79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8062675.8399999999</v>
      </c>
      <c r="D115" s="86">
        <f>SUM(D109:D114)</f>
        <v>0</v>
      </c>
      <c r="E115" s="86">
        <f>SUM(E109:E114)</f>
        <v>4692.3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903539.78999999992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546910.95000000007</v>
      </c>
      <c r="D119" s="24" t="s">
        <v>289</v>
      </c>
      <c r="E119" s="95">
        <f>+('DOE25'!L282)+('DOE25'!L301)+('DOE25'!L320)</f>
        <v>13010.48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438188.90000000008</v>
      </c>
      <c r="D120" s="24" t="s">
        <v>289</v>
      </c>
      <c r="E120" s="95">
        <f>+('DOE25'!L283)+('DOE25'!L302)+('DOE25'!L321)</f>
        <v>322.79000000000002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620963.68999999994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1308598.95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510914.82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327670.28999999998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4329117.1000000006</v>
      </c>
      <c r="D128" s="86">
        <f>SUM(D118:D127)</f>
        <v>327670.28999999998</v>
      </c>
      <c r="E128" s="86">
        <f>SUM(E118:E127)</f>
        <v>13333.27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156.96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71223.59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-1380.5500000000029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12461792.940000001</v>
      </c>
      <c r="D145" s="86">
        <f>(D115+D128+D144)</f>
        <v>327670.28999999998</v>
      </c>
      <c r="E145" s="86">
        <f>(E115+E128+E144)</f>
        <v>18025.57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JOHN STARK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16859</v>
      </c>
    </row>
    <row r="7" spans="1:4" x14ac:dyDescent="0.2">
      <c r="B7" t="s">
        <v>705</v>
      </c>
      <c r="C7" s="179">
        <f>IF('DOE25'!I665+'DOE25'!I670=0,0,ROUND('DOE25'!I672,0))</f>
        <v>16859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5160428</v>
      </c>
      <c r="D10" s="182">
        <f>ROUND((C10/$C$28)*100,1)</f>
        <v>41.3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2287672</v>
      </c>
      <c r="D11" s="182">
        <f>ROUND((C11/$C$28)*100,1)</f>
        <v>18.3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63000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556268</v>
      </c>
      <c r="D13" s="182">
        <f>ROUND((C13/$C$28)*100,1)</f>
        <v>4.5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903540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559921</v>
      </c>
      <c r="D16" s="182">
        <f t="shared" si="0"/>
        <v>4.5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438512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620964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1308599</v>
      </c>
      <c r="D20" s="182">
        <f t="shared" si="0"/>
        <v>10.5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510915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72219.12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12482038.119999999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12482038.119999999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7981609</v>
      </c>
      <c r="D35" s="182">
        <f t="shared" ref="D35:D40" si="1">ROUND((C35/$C$41)*100,1)</f>
        <v>62.2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192294.7900000019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4189682</v>
      </c>
      <c r="D37" s="182">
        <f t="shared" si="1"/>
        <v>32.700000000000003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219825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242026</v>
      </c>
      <c r="D39" s="182">
        <f t="shared" si="1"/>
        <v>1.9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12825436.790000003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JOHN STARK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2016-08-23T12:37:27Z</cp:lastPrinted>
  <dcterms:created xsi:type="dcterms:W3CDTF">1997-12-04T19:04:30Z</dcterms:created>
  <dcterms:modified xsi:type="dcterms:W3CDTF">2016-11-30T16:29:25Z</dcterms:modified>
</cp:coreProperties>
</file>