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Notes'!$A$1:$N$69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J472" i="1" l="1"/>
  <c r="F160" i="1" l="1"/>
  <c r="F13" i="1"/>
  <c r="F123" i="1" l="1"/>
  <c r="F28" i="1"/>
  <c r="B39" i="12" l="1"/>
  <c r="C39" i="12" l="1"/>
  <c r="C38" i="12"/>
  <c r="C37" i="12"/>
  <c r="H584" i="1" l="1"/>
  <c r="F665" i="1"/>
  <c r="J96" i="1"/>
  <c r="J110" i="1"/>
  <c r="I523" i="1"/>
  <c r="I522" i="1"/>
  <c r="I521" i="1"/>
  <c r="G523" i="1"/>
  <c r="G522" i="1"/>
  <c r="G521" i="1"/>
  <c r="F523" i="1"/>
  <c r="F522" i="1"/>
  <c r="F521" i="1"/>
  <c r="G499" i="1"/>
  <c r="G502" i="1"/>
  <c r="F497" i="1"/>
  <c r="J604" i="1"/>
  <c r="I604" i="1"/>
  <c r="H604" i="1"/>
  <c r="H543" i="1"/>
  <c r="H542" i="1"/>
  <c r="H541" i="1"/>
  <c r="K523" i="1"/>
  <c r="J523" i="1"/>
  <c r="H523" i="1"/>
  <c r="K522" i="1"/>
  <c r="J522" i="1"/>
  <c r="H522" i="1"/>
  <c r="K521" i="1"/>
  <c r="H521" i="1"/>
  <c r="G498" i="1"/>
  <c r="F498" i="1"/>
  <c r="I400" i="1"/>
  <c r="H397" i="1"/>
  <c r="H396" i="1"/>
  <c r="F459" i="1"/>
  <c r="H24" i="1"/>
  <c r="H22" i="1"/>
  <c r="H12" i="1"/>
  <c r="H13" i="1"/>
  <c r="H28" i="1"/>
  <c r="I48" i="1"/>
  <c r="G35" i="1"/>
  <c r="G30" i="1"/>
  <c r="G13" i="1"/>
  <c r="G12" i="1"/>
  <c r="F36" i="1"/>
  <c r="F35" i="1"/>
  <c r="F29" i="1"/>
  <c r="F22" i="1"/>
  <c r="F12" i="1"/>
  <c r="I472" i="1"/>
  <c r="G472" i="1"/>
  <c r="F472" i="1"/>
  <c r="I468" i="1"/>
  <c r="H468" i="1"/>
  <c r="G468" i="1"/>
  <c r="H110" i="1" l="1"/>
  <c r="C45" i="2" l="1"/>
  <c r="G51" i="1"/>
  <c r="G465" i="1" s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E13" i="13" s="1"/>
  <c r="C13" i="13" s="1"/>
  <c r="G13" i="13"/>
  <c r="L206" i="1"/>
  <c r="C122" i="2" s="1"/>
  <c r="L224" i="1"/>
  <c r="L242" i="1"/>
  <c r="F16" i="13"/>
  <c r="G16" i="13"/>
  <c r="L209" i="1"/>
  <c r="L227" i="1"/>
  <c r="L245" i="1"/>
  <c r="F5" i="13"/>
  <c r="G5" i="13"/>
  <c r="L197" i="1"/>
  <c r="L198" i="1"/>
  <c r="L199" i="1"/>
  <c r="C12" i="10" s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G651" i="1" s="1"/>
  <c r="F17" i="13"/>
  <c r="G17" i="13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L281" i="1"/>
  <c r="L282" i="1"/>
  <c r="L283" i="1"/>
  <c r="L284" i="1"/>
  <c r="E121" i="2" s="1"/>
  <c r="L285" i="1"/>
  <c r="E122" i="2" s="1"/>
  <c r="L286" i="1"/>
  <c r="L287" i="1"/>
  <c r="L288" i="1"/>
  <c r="L295" i="1"/>
  <c r="L296" i="1"/>
  <c r="L297" i="1"/>
  <c r="E111" i="2" s="1"/>
  <c r="L298" i="1"/>
  <c r="L300" i="1"/>
  <c r="L309" i="1" s="1"/>
  <c r="L301" i="1"/>
  <c r="L302" i="1"/>
  <c r="L303" i="1"/>
  <c r="L304" i="1"/>
  <c r="L305" i="1"/>
  <c r="L306" i="1"/>
  <c r="L307" i="1"/>
  <c r="L314" i="1"/>
  <c r="E109" i="2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F22" i="13" s="1"/>
  <c r="C22" i="13" s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F111" i="1"/>
  <c r="G111" i="1"/>
  <c r="G112" i="1" s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9" i="1" s="1"/>
  <c r="H162" i="1"/>
  <c r="I147" i="1"/>
  <c r="I162" i="1"/>
  <c r="L250" i="1"/>
  <c r="L332" i="1"/>
  <c r="E113" i="2" s="1"/>
  <c r="L254" i="1"/>
  <c r="L268" i="1"/>
  <c r="L269" i="1"/>
  <c r="C143" i="2" s="1"/>
  <c r="L349" i="1"/>
  <c r="E142" i="2" s="1"/>
  <c r="L350" i="1"/>
  <c r="I665" i="1"/>
  <c r="I670" i="1"/>
  <c r="G662" i="1"/>
  <c r="H662" i="1"/>
  <c r="I669" i="1"/>
  <c r="C42" i="10"/>
  <c r="L374" i="1"/>
  <c r="L375" i="1"/>
  <c r="L376" i="1"/>
  <c r="L377" i="1"/>
  <c r="F130" i="2" s="1"/>
  <c r="L378" i="1"/>
  <c r="L379" i="1"/>
  <c r="L380" i="1"/>
  <c r="B2" i="10"/>
  <c r="L344" i="1"/>
  <c r="L351" i="1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D62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E112" i="2"/>
  <c r="C113" i="2"/>
  <c r="D115" i="2"/>
  <c r="F115" i="2"/>
  <c r="G115" i="2"/>
  <c r="E119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465" i="1" s="1"/>
  <c r="F177" i="1"/>
  <c r="I177" i="1"/>
  <c r="F183" i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G408" i="1" s="1"/>
  <c r="H645" i="1" s="1"/>
  <c r="H393" i="1"/>
  <c r="I393" i="1"/>
  <c r="F401" i="1"/>
  <c r="G401" i="1"/>
  <c r="H401" i="1"/>
  <c r="I401" i="1"/>
  <c r="F407" i="1"/>
  <c r="G407" i="1"/>
  <c r="H407" i="1"/>
  <c r="I407" i="1"/>
  <c r="F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J641" i="1" s="1"/>
  <c r="I446" i="1"/>
  <c r="G642" i="1" s="1"/>
  <c r="F452" i="1"/>
  <c r="G452" i="1"/>
  <c r="H452" i="1"/>
  <c r="F460" i="1"/>
  <c r="G460" i="1"/>
  <c r="H460" i="1"/>
  <c r="H461" i="1" s="1"/>
  <c r="H641" i="1" s="1"/>
  <c r="F461" i="1"/>
  <c r="H639" i="1" s="1"/>
  <c r="G461" i="1"/>
  <c r="G470" i="1"/>
  <c r="H470" i="1"/>
  <c r="I470" i="1"/>
  <c r="F474" i="1"/>
  <c r="G474" i="1"/>
  <c r="G476" i="1" s="1"/>
  <c r="H623" i="1" s="1"/>
  <c r="J623" i="1" s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H545" i="1" s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I571" i="1" s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8" i="1"/>
  <c r="H629" i="1"/>
  <c r="H630" i="1"/>
  <c r="H632" i="1"/>
  <c r="H635" i="1"/>
  <c r="H636" i="1"/>
  <c r="H638" i="1"/>
  <c r="G640" i="1"/>
  <c r="H640" i="1"/>
  <c r="J640" i="1" s="1"/>
  <c r="G643" i="1"/>
  <c r="H643" i="1"/>
  <c r="G644" i="1"/>
  <c r="G649" i="1"/>
  <c r="G650" i="1"/>
  <c r="G652" i="1"/>
  <c r="H652" i="1"/>
  <c r="G653" i="1"/>
  <c r="H653" i="1"/>
  <c r="G654" i="1"/>
  <c r="H654" i="1"/>
  <c r="H655" i="1"/>
  <c r="J655" i="1" s="1"/>
  <c r="C70" i="2"/>
  <c r="D17" i="13"/>
  <c r="C17" i="13" s="1"/>
  <c r="D19" i="13"/>
  <c r="C19" i="13" s="1"/>
  <c r="I169" i="1"/>
  <c r="J643" i="1"/>
  <c r="J140" i="1"/>
  <c r="F571" i="1"/>
  <c r="G22" i="2"/>
  <c r="H140" i="1"/>
  <c r="L393" i="1"/>
  <c r="C138" i="2" s="1"/>
  <c r="H338" i="1"/>
  <c r="H352" i="1" s="1"/>
  <c r="G192" i="1"/>
  <c r="G36" i="2"/>
  <c r="L427" i="1" l="1"/>
  <c r="L434" i="1" s="1"/>
  <c r="G638" i="1" s="1"/>
  <c r="J638" i="1" s="1"/>
  <c r="J552" i="1"/>
  <c r="K598" i="1"/>
  <c r="G647" i="1" s="1"/>
  <c r="J647" i="1" s="1"/>
  <c r="J649" i="1"/>
  <c r="L570" i="1"/>
  <c r="L571" i="1" s="1"/>
  <c r="H552" i="1"/>
  <c r="G552" i="1"/>
  <c r="I545" i="1"/>
  <c r="L529" i="1"/>
  <c r="F552" i="1"/>
  <c r="K550" i="1"/>
  <c r="K551" i="1"/>
  <c r="L401" i="1"/>
  <c r="C139" i="2" s="1"/>
  <c r="I408" i="1"/>
  <c r="H408" i="1"/>
  <c r="H644" i="1" s="1"/>
  <c r="J644" i="1" s="1"/>
  <c r="E103" i="2"/>
  <c r="E78" i="2"/>
  <c r="E81" i="2" s="1"/>
  <c r="G161" i="2"/>
  <c r="G62" i="2"/>
  <c r="G63" i="2" s="1"/>
  <c r="G104" i="2" s="1"/>
  <c r="D50" i="2"/>
  <c r="D18" i="2"/>
  <c r="G164" i="2"/>
  <c r="G156" i="2"/>
  <c r="D63" i="2"/>
  <c r="C91" i="2"/>
  <c r="E16" i="13"/>
  <c r="C16" i="13" s="1"/>
  <c r="G157" i="2"/>
  <c r="E31" i="2"/>
  <c r="D31" i="2"/>
  <c r="D51" i="2" s="1"/>
  <c r="C18" i="2"/>
  <c r="I476" i="1"/>
  <c r="H625" i="1" s="1"/>
  <c r="J625" i="1" s="1"/>
  <c r="E62" i="2"/>
  <c r="E63" i="2" s="1"/>
  <c r="J617" i="1"/>
  <c r="J639" i="1"/>
  <c r="H647" i="1"/>
  <c r="E118" i="2"/>
  <c r="D29" i="13"/>
  <c r="C29" i="13" s="1"/>
  <c r="K549" i="1"/>
  <c r="L539" i="1"/>
  <c r="K503" i="1"/>
  <c r="L382" i="1"/>
  <c r="G636" i="1" s="1"/>
  <c r="J636" i="1" s="1"/>
  <c r="J634" i="1"/>
  <c r="F192" i="1"/>
  <c r="E134" i="2"/>
  <c r="E144" i="2" s="1"/>
  <c r="E120" i="2"/>
  <c r="C29" i="10"/>
  <c r="G645" i="1"/>
  <c r="J645" i="1" s="1"/>
  <c r="L544" i="1"/>
  <c r="I52" i="1"/>
  <c r="H620" i="1" s="1"/>
  <c r="J620" i="1" s="1"/>
  <c r="C124" i="2"/>
  <c r="E85" i="2"/>
  <c r="E91" i="2" s="1"/>
  <c r="G81" i="2"/>
  <c r="C21" i="10"/>
  <c r="L534" i="1"/>
  <c r="L328" i="1"/>
  <c r="L338" i="1" s="1"/>
  <c r="L352" i="1" s="1"/>
  <c r="L614" i="1"/>
  <c r="H52" i="1"/>
  <c r="H619" i="1" s="1"/>
  <c r="J619" i="1" s="1"/>
  <c r="C111" i="2"/>
  <c r="C19" i="10"/>
  <c r="C35" i="10"/>
  <c r="G624" i="1"/>
  <c r="K500" i="1"/>
  <c r="D7" i="13"/>
  <c r="C7" i="13" s="1"/>
  <c r="H25" i="13"/>
  <c r="D18" i="13"/>
  <c r="C18" i="13" s="1"/>
  <c r="C130" i="2"/>
  <c r="D81" i="2"/>
  <c r="L270" i="1"/>
  <c r="A13" i="12"/>
  <c r="J651" i="1"/>
  <c r="I460" i="1"/>
  <c r="C26" i="10"/>
  <c r="I452" i="1"/>
  <c r="L524" i="1"/>
  <c r="J338" i="1"/>
  <c r="J352" i="1" s="1"/>
  <c r="L256" i="1"/>
  <c r="C13" i="10"/>
  <c r="K257" i="1"/>
  <c r="K271" i="1" s="1"/>
  <c r="C119" i="2"/>
  <c r="C32" i="10"/>
  <c r="G661" i="1"/>
  <c r="E8" i="13"/>
  <c r="C8" i="13" s="1"/>
  <c r="D6" i="13"/>
  <c r="C6" i="13" s="1"/>
  <c r="D15" i="13"/>
  <c r="C15" i="13" s="1"/>
  <c r="C81" i="2"/>
  <c r="C15" i="10"/>
  <c r="I662" i="1"/>
  <c r="F338" i="1"/>
  <c r="F352" i="1" s="1"/>
  <c r="C16" i="10"/>
  <c r="F661" i="1"/>
  <c r="C11" i="10"/>
  <c r="C62" i="2"/>
  <c r="C63" i="2" s="1"/>
  <c r="E125" i="2"/>
  <c r="E128" i="2" s="1"/>
  <c r="K338" i="1"/>
  <c r="K352" i="1" s="1"/>
  <c r="C121" i="2"/>
  <c r="J257" i="1"/>
  <c r="J271" i="1" s="1"/>
  <c r="C118" i="2"/>
  <c r="E110" i="2"/>
  <c r="E115" i="2"/>
  <c r="H257" i="1"/>
  <c r="H271" i="1" s="1"/>
  <c r="D12" i="13"/>
  <c r="C12" i="13" s="1"/>
  <c r="D5" i="13"/>
  <c r="C5" i="13" s="1"/>
  <c r="L247" i="1"/>
  <c r="F257" i="1"/>
  <c r="F271" i="1" s="1"/>
  <c r="G338" i="1"/>
  <c r="G352" i="1" s="1"/>
  <c r="F112" i="1"/>
  <c r="L362" i="1"/>
  <c r="G635" i="1" s="1"/>
  <c r="J635" i="1" s="1"/>
  <c r="H661" i="1"/>
  <c r="D127" i="2"/>
  <c r="D128" i="2" s="1"/>
  <c r="D145" i="2" s="1"/>
  <c r="C120" i="2"/>
  <c r="C18" i="10"/>
  <c r="C20" i="10"/>
  <c r="I257" i="1"/>
  <c r="I271" i="1" s="1"/>
  <c r="C110" i="2"/>
  <c r="L229" i="1"/>
  <c r="G660" i="1" s="1"/>
  <c r="G257" i="1"/>
  <c r="G271" i="1" s="1"/>
  <c r="C17" i="10"/>
  <c r="C10" i="10"/>
  <c r="C123" i="2"/>
  <c r="D14" i="13"/>
  <c r="C14" i="13" s="1"/>
  <c r="C109" i="2"/>
  <c r="L211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I192" i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H193" i="1"/>
  <c r="G629" i="1" s="1"/>
  <c r="J629" i="1" s="1"/>
  <c r="G169" i="1"/>
  <c r="C39" i="10" s="1"/>
  <c r="G140" i="1"/>
  <c r="F140" i="1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E33" i="13" l="1"/>
  <c r="D35" i="13" s="1"/>
  <c r="G633" i="1"/>
  <c r="H472" i="1"/>
  <c r="G646" i="1"/>
  <c r="J468" i="1"/>
  <c r="J465" i="1"/>
  <c r="K552" i="1"/>
  <c r="E51" i="2"/>
  <c r="F104" i="2"/>
  <c r="D104" i="2"/>
  <c r="G51" i="2"/>
  <c r="F51" i="2"/>
  <c r="E104" i="2"/>
  <c r="I193" i="1"/>
  <c r="G630" i="1" s="1"/>
  <c r="J630" i="1" s="1"/>
  <c r="C144" i="2"/>
  <c r="C115" i="2"/>
  <c r="C36" i="10"/>
  <c r="L545" i="1"/>
  <c r="C27" i="10"/>
  <c r="C28" i="10" s="1"/>
  <c r="D22" i="10" s="1"/>
  <c r="L408" i="1"/>
  <c r="I461" i="1"/>
  <c r="H642" i="1" s="1"/>
  <c r="J642" i="1" s="1"/>
  <c r="H660" i="1"/>
  <c r="C25" i="13"/>
  <c r="H33" i="13"/>
  <c r="G664" i="1"/>
  <c r="G672" i="1" s="1"/>
  <c r="C5" i="10" s="1"/>
  <c r="C104" i="2"/>
  <c r="H648" i="1"/>
  <c r="J648" i="1" s="1"/>
  <c r="I661" i="1"/>
  <c r="E145" i="2"/>
  <c r="H664" i="1"/>
  <c r="H672" i="1" s="1"/>
  <c r="C6" i="10" s="1"/>
  <c r="C128" i="2"/>
  <c r="F193" i="1"/>
  <c r="L257" i="1"/>
  <c r="L271" i="1" s="1"/>
  <c r="G632" i="1" s="1"/>
  <c r="J632" i="1" s="1"/>
  <c r="D31" i="13"/>
  <c r="C31" i="13" s="1"/>
  <c r="F660" i="1"/>
  <c r="F664" i="1" s="1"/>
  <c r="C51" i="2"/>
  <c r="G631" i="1"/>
  <c r="G193" i="1"/>
  <c r="G628" i="1" s="1"/>
  <c r="J628" i="1" s="1"/>
  <c r="G626" i="1"/>
  <c r="J52" i="1"/>
  <c r="H621" i="1" s="1"/>
  <c r="J621" i="1" s="1"/>
  <c r="C38" i="10"/>
  <c r="G627" i="1" l="1"/>
  <c r="F468" i="1"/>
  <c r="H633" i="1"/>
  <c r="H474" i="1"/>
  <c r="H465" i="1"/>
  <c r="J633" i="1"/>
  <c r="G667" i="1"/>
  <c r="H637" i="1"/>
  <c r="H631" i="1"/>
  <c r="J631" i="1" s="1"/>
  <c r="J470" i="1"/>
  <c r="J476" i="1" s="1"/>
  <c r="H626" i="1" s="1"/>
  <c r="J626" i="1" s="1"/>
  <c r="C145" i="2"/>
  <c r="G637" i="1"/>
  <c r="H646" i="1"/>
  <c r="J646" i="1" s="1"/>
  <c r="H667" i="1"/>
  <c r="D33" i="13"/>
  <c r="D36" i="13" s="1"/>
  <c r="C30" i="10"/>
  <c r="D23" i="10"/>
  <c r="D10" i="10"/>
  <c r="D15" i="10"/>
  <c r="D26" i="10"/>
  <c r="D16" i="10"/>
  <c r="D20" i="10"/>
  <c r="D25" i="10"/>
  <c r="D27" i="10"/>
  <c r="D18" i="10"/>
  <c r="D17" i="10"/>
  <c r="D12" i="10"/>
  <c r="D24" i="10"/>
  <c r="D19" i="10"/>
  <c r="D13" i="10"/>
  <c r="D11" i="10"/>
  <c r="D21" i="10"/>
  <c r="I660" i="1"/>
  <c r="I664" i="1" s="1"/>
  <c r="I672" i="1" s="1"/>
  <c r="C7" i="10" s="1"/>
  <c r="F672" i="1"/>
  <c r="C4" i="10" s="1"/>
  <c r="F667" i="1"/>
  <c r="C41" i="10"/>
  <c r="D38" i="10" s="1"/>
  <c r="F465" i="1" l="1"/>
  <c r="F470" i="1"/>
  <c r="H627" i="1"/>
  <c r="J627" i="1" s="1"/>
  <c r="H476" i="1"/>
  <c r="H624" i="1" s="1"/>
  <c r="J624" i="1" s="1"/>
  <c r="J637" i="1"/>
  <c r="D28" i="10"/>
  <c r="I667" i="1"/>
  <c r="D37" i="10"/>
  <c r="D36" i="10"/>
  <c r="D35" i="10"/>
  <c r="D40" i="10"/>
  <c r="D39" i="10"/>
  <c r="F476" i="1" l="1"/>
  <c r="H622" i="1" s="1"/>
  <c r="J622" i="1" s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<sst xmlns="http://schemas.openxmlformats.org/spreadsheetml/2006/main" count="3966" uniqueCount="924">
  <si>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</si>
  <si>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</si>
  <si>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</si>
  <si>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</si>
  <si>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</si>
  <si>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</si>
  <si>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</si>
  <si>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</si>
  <si>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</si>
  <si>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</si>
  <si>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</si>
  <si>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</si>
  <si>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</si>
  <si>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</si>
  <si>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</si>
  <si>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</si>
  <si>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</si>
  <si>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</si>
  <si>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</si>
  <si>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</si>
  <si>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</si>
  <si>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</si>
  <si>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</si>
  <si>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</si>
  <si>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</si>
  <si>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</si>
  <si>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</si>
  <si>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</si>
  <si>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</si>
  <si>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</si>
  <si>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</si>
  <si>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</si>
  <si>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</si>
  <si>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</si>
  <si>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</si>
  <si>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</si>
  <si>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</si>
  <si>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</si>
  <si>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</si>
  <si>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</si>
  <si>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</si>
  <si>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</si>
  <si>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</si>
  <si>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</si>
  <si>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</si>
  <si>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</si>
  <si>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</si>
  <si>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</si>
  <si>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</si>
  <si>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</si>
  <si>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</si>
  <si>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</si>
  <si>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</si>
  <si>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</si>
  <si>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</si>
  <si>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</si>
  <si>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</si>
  <si>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</si>
  <si>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</si>
  <si>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</si>
  <si>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</si>
  <si>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</si>
  <si>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</si>
  <si>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</si>
  <si>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</si>
  <si>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</si>
  <si>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</si>
  <si>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</si>
  <si>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</si>
  <si>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</si>
  <si>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</si>
  <si>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</si>
  <si>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</si>
  <si>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</si>
  <si>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</si>
  <si>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</si>
  <si>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</si>
  <si>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</si>
  <si>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</si>
  <si>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</si>
  <si>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</si>
  <si>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</si>
  <si>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</si>
  <si>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</si>
  <si>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</si>
  <si>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</si>
  <si>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</si>
  <si>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</si>
  <si>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</si>
  <si>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</si>
  <si>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</si>
  <si>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</si>
  <si>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</si>
  <si>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</si>
  <si>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</si>
  <si>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</si>
  <si>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</si>
  <si>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</si>
  <si>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</si>
  <si>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</si>
  <si>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</si>
  <si>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</si>
  <si>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</si>
  <si>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</si>
  <si>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</si>
  <si>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</si>
  <si>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</si>
  <si>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</si>
  <si>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</si>
  <si>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</si>
  <si>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</si>
  <si>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</si>
  <si>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</si>
  <si>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</si>
  <si>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</si>
  <si>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</si>
  <si>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</si>
  <si>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</si>
  <si>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</si>
  <si>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</si>
  <si>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</si>
  <si>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</si>
  <si>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</si>
  <si>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</si>
  <si>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</si>
  <si>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</si>
  <si>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</si>
  <si>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</si>
  <si>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</si>
  <si>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</si>
  <si>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</si>
  <si>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</si>
  <si>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</si>
  <si>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</si>
  <si>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</si>
  <si>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</si>
  <si>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</si>
  <si>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</si>
  <si>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</si>
  <si>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</si>
  <si>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</si>
  <si>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</si>
  <si>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</si>
  <si>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</si>
  <si>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</si>
  <si>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</si>
  <si>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</si>
  <si>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</si>
  <si>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</si>
  <si>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</si>
  <si>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</si>
  <si>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</si>
  <si>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</si>
  <si>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</si>
  <si>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</si>
  <si>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</si>
  <si>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</si>
  <si>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</si>
  <si>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</si>
  <si>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</si>
  <si>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</si>
  <si>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</si>
  <si>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</si>
  <si>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</si>
  <si>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</si>
  <si>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</si>
  <si>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</si>
  <si>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</si>
  <si>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</si>
  <si>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</si>
  <si>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</si>
  <si>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</si>
  <si>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</si>
  <si>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</si>
  <si>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</si>
  <si>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</si>
  <si>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</si>
  <si>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</si>
  <si>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</si>
  <si>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</si>
  <si>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</si>
  <si>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</si>
  <si>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</si>
  <si>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</si>
  <si>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</si>
  <si>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</si>
  <si>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</si>
  <si>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</si>
  <si>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</si>
  <si>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</si>
  <si>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</si>
  <si>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</si>
  <si>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</si>
  <si>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</si>
  <si>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</si>
  <si>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</si>
  <si>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</si>
  <si>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</si>
  <si>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</si>
  <si>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</si>
  <si>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</si>
  <si>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</si>
  <si>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</si>
  <si>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</si>
  <si>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</si>
  <si>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</si>
  <si>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</si>
  <si>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</si>
  <si>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</si>
  <si>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</si>
  <si>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</si>
  <si>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</si>
  <si>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</si>
  <si>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</si>
  <si>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</si>
  <si>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</si>
  <si>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</si>
  <si>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</si>
  <si>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</si>
  <si>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</si>
  <si>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</si>
  <si>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</si>
  <si>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</si>
  <si>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</si>
  <si>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</si>
  <si>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</si>
  <si>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</si>
  <si>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</si>
  <si>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</si>
  <si>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</si>
  <si>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</si>
  <si>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</si>
  <si>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</si>
  <si>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</si>
  <si>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</si>
  <si>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</si>
  <si>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</si>
  <si>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</si>
  <si>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</si>
  <si>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</si>
  <si>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</si>
  <si>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</si>
  <si>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</si>
  <si>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</si>
  <si>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</si>
  <si>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</si>
  <si>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</si>
  <si>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</si>
  <si>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</si>
  <si>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</si>
  <si>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</si>
  <si>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</si>
  <si>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</si>
  <si>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</si>
  <si>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</si>
  <si>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</si>
  <si>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</si>
  <si>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</si>
  <si>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</si>
  <si>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</si>
  <si>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</si>
  <si>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</si>
  <si>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</si>
  <si>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</si>
  <si>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</si>
  <si>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</si>
  <si>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</si>
  <si>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</si>
  <si>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</si>
  <si>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</si>
  <si>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</si>
  <si>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</si>
  <si>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</si>
  <si>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</si>
  <si>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</si>
  <si>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</si>
  <si>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</si>
  <si>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</si>
  <si>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</si>
  <si>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</si>
  <si>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</si>
  <si>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</si>
  <si>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</si>
  <si>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</si>
  <si>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</si>
  <si>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</si>
  <si>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</si>
  <si>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</si>
  <si>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</si>
  <si>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</si>
  <si>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</si>
  <si>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</si>
  <si>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</si>
  <si>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</si>
  <si>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</si>
  <si>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</si>
  <si>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</si>
  <si>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</si>
  <si>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</si>
  <si>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</si>
  <si>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</si>
  <si>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</si>
  <si>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</si>
  <si>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</si>
  <si>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</si>
  <si>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</si>
  <si>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</si>
  <si>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</si>
  <si>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</si>
  <si>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</si>
  <si>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</si>
  <si>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</si>
  <si>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</si>
  <si>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</si>
  <si>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</si>
  <si>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</si>
  <si>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</si>
  <si>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</si>
  <si>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</si>
  <si>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</si>
  <si>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</si>
  <si>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</si>
  <si>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</si>
  <si>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</si>
  <si>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</si>
  <si>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</si>
  <si>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</si>
  <si>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</si>
  <si>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</si>
  <si>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</si>
  <si>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</si>
  <si>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</si>
  <si>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</si>
  <si>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</si>
  <si>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</si>
  <si>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</si>
  <si>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</si>
  <si>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</si>
  <si>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</si>
  <si>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</si>
  <si>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</si>
  <si>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</si>
  <si>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</si>
  <si>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</si>
  <si>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</si>
  <si>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</si>
  <si>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</si>
  <si>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</si>
  <si>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</si>
  <si>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</si>
  <si>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</si>
  <si>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</si>
  <si>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</si>
  <si>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</si>
  <si>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</si>
  <si>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</si>
  <si>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</si>
  <si>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</si>
  <si>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</si>
  <si>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</si>
  <si>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</si>
  <si>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</si>
  <si>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</si>
  <si>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</si>
  <si>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</si>
  <si>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</si>
  <si>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</si>
  <si>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</si>
  <si>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</si>
  <si>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</si>
  <si>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</si>
  <si>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</si>
  <si>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</si>
  <si>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</si>
  <si>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</si>
  <si>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</si>
  <si>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</si>
  <si>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</si>
  <si>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</si>
  <si>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</si>
  <si>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</si>
  <si>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</si>
  <si>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</si>
  <si>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</si>
  <si>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</si>
  <si>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</si>
  <si>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</si>
  <si>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</si>
  <si>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</si>
  <si>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</si>
  <si>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</si>
  <si>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</si>
  <si>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</si>
  <si>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</si>
  <si>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</si>
  <si>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</si>
  <si>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</si>
  <si>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</si>
  <si>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</si>
  <si>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</si>
  <si>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</si>
  <si>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</si>
  <si>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</si>
  <si>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</si>
  <si>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</si>
  <si>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</si>
  <si>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</si>
  <si>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</si>
  <si>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</si>
  <si>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</si>
  <si>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</si>
  <si>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</si>
  <si>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</si>
  <si>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</si>
  <si>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</si>
  <si>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</si>
  <si>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</si>
  <si>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</si>
  <si>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</si>
  <si>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</si>
  <si>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</si>
  <si>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</si>
  <si>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</si>
  <si>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</si>
  <si>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</si>
  <si>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</si>
  <si>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</si>
  <si>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</si>
  <si>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</si>
  <si>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</si>
  <si>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</si>
  <si>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</si>
  <si>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</si>
  <si>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</si>
  <si>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</si>
  <si>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</si>
  <si>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</si>
  <si>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</si>
  <si>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</si>
  <si>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</si>
  <si>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</si>
  <si>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</si>
  <si>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</si>
  <si>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</si>
  <si>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</si>
  <si>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</si>
  <si>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</si>
  <si>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</si>
  <si>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</si>
  <si>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</si>
  <si>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</si>
  <si>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</si>
  <si>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</si>
  <si>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</si>
  <si>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</si>
  <si>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</si>
  <si>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</si>
  <si>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</si>
  <si>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</si>
  <si>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</si>
  <si>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</si>
  <si>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</si>
  <si>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</si>
  <si>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</si>
  <si>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</si>
  <si>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</si>
  <si>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</si>
  <si>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</si>
  <si>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</si>
  <si>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</si>
  <si>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</si>
  <si>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</si>
  <si>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</si>
  <si>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</si>
  <si>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</si>
  <si>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</si>
  <si>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</si>
  <si>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</si>
  <si>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</si>
  <si>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</si>
  <si>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</si>
  <si>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</si>
  <si>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</si>
  <si>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</si>
  <si>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</si>
  <si>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</si>
  <si>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</si>
  <si>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</si>
  <si>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</si>
  <si>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</si>
  <si>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</si>
  <si>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</si>
  <si>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</si>
  <si>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</si>
  <si>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</si>
  <si>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</si>
  <si>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</si>
  <si>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</si>
  <si>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</si>
  <si>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</si>
  <si>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</si>
  <si>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</si>
  <si>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</si>
  <si>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</si>
  <si>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</si>
  <si>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</si>
  <si>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</si>
  <si>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</si>
  <si>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</si>
  <si>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</si>
  <si>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</si>
  <si>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</si>
  <si>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</si>
  <si>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</si>
  <si>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</si>
  <si>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</si>
  <si>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</si>
  <si>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</si>
  <si>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</si>
  <si>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</si>
  <si>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</si>
  <si>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</si>
  <si>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</si>
  <si>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</si>
  <si>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</si>
  <si>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</si>
  <si>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</si>
  <si>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</si>
  <si>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</si>
  <si>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</si>
  <si>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</si>
  <si>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</si>
  <si>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</si>
  <si>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</si>
  <si>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</si>
  <si>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</si>
  <si>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</si>
  <si>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</si>
  <si>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</si>
  <si>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</si>
  <si>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</si>
  <si>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</si>
  <si>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</si>
  <si>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</si>
  <si>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</si>
  <si>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</si>
  <si>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</si>
  <si>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</si>
  <si>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</si>
  <si>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</si>
  <si>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</si>
  <si>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</si>
  <si>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</si>
  <si>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</si>
  <si>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</si>
  <si>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</si>
  <si>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</si>
  <si>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</si>
  <si>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</si>
  <si>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</si>
  <si>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</si>
  <si>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</si>
  <si>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</si>
  <si>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</si>
  <si>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</si>
  <si>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</si>
  <si>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</si>
  <si>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</si>
  <si>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</si>
  <si>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</si>
  <si>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</si>
  <si>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</si>
  <si>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</si>
  <si>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</si>
  <si>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</si>
  <si>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</si>
  <si>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</si>
  <si>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</si>
  <si>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</si>
  <si>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</si>
  <si>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</si>
  <si>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</si>
  <si>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</si>
  <si>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</si>
  <si>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</si>
  <si>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</si>
  <si>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</si>
  <si>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</si>
  <si>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</si>
  <si>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</si>
  <si>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</si>
  <si>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</si>
  <si>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</si>
  <si>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</si>
  <si>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</si>
  <si>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</si>
  <si>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</si>
  <si>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</si>
  <si>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</si>
  <si>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</si>
  <si>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</si>
  <si>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</si>
  <si>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</si>
  <si>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</si>
  <si>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</si>
  <si>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</si>
  <si>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</si>
  <si>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</si>
  <si>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</si>
  <si>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</si>
  <si>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</si>
  <si>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</si>
  <si>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</si>
  <si>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</si>
  <si>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</si>
  <si>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</si>
  <si>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</si>
  <si>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</si>
  <si>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</si>
  <si>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</si>
  <si>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</si>
  <si>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</si>
  <si>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</si>
  <si>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</si>
  <si>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</si>
  <si>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</si>
  <si>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</si>
  <si>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</si>
  <si>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</si>
  <si>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</si>
  <si>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</si>
  <si>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</si>
  <si>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</si>
  <si>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</si>
  <si>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</si>
  <si>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</si>
  <si>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</si>
  <si>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</si>
  <si>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</si>
  <si>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</si>
  <si>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</si>
  <si>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</si>
  <si>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</si>
  <si>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</si>
  <si>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</si>
  <si>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</si>
  <si>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</si>
  <si>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</si>
  <si>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</si>
  <si>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</si>
  <si>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</si>
  <si>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</si>
  <si>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</si>
  <si>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</si>
  <si>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</si>
  <si>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</si>
  <si>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</si>
  <si>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</si>
  <si>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</si>
  <si>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</si>
  <si>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</si>
  <si>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</si>
  <si>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</si>
  <si>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</si>
  <si>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</si>
  <si>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</si>
  <si>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</si>
  <si>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</si>
  <si>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</si>
  <si>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</si>
  <si>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</si>
  <si>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</si>
  <si>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</si>
  <si>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</si>
  <si>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</si>
  <si>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</si>
  <si>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</si>
  <si>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</si>
  <si>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</si>
  <si>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</si>
  <si>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</si>
  <si>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</si>
  <si>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</si>
  <si>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</si>
  <si>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</si>
  <si>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</si>
  <si>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</si>
  <si>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</si>
  <si>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</si>
  <si>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</si>
  <si>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</si>
  <si>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</si>
  <si>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</si>
  <si>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</si>
  <si>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</si>
  <si>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</si>
  <si>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</si>
  <si>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</si>
  <si>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</si>
  <si>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</si>
  <si>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</si>
  <si>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</si>
  <si>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</si>
  <si>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</si>
  <si>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</si>
  <si>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</si>
  <si>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</si>
  <si>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</si>
  <si>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</si>
  <si>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</si>
  <si>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</si>
  <si>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</si>
  <si>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</si>
  <si>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</si>
  <si>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</si>
  <si>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</si>
  <si>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</si>
  <si>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</si>
  <si>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</si>
  <si>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</si>
  <si>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</si>
  <si>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</si>
  <si>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</si>
  <si>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</si>
  <si>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</si>
  <si>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</si>
  <si>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</si>
  <si>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</si>
  <si>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</si>
  <si>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</si>
  <si>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</si>
  <si>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</si>
  <si>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</si>
  <si>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</si>
  <si>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</si>
  <si>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</si>
  <si>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</si>
  <si>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</si>
  <si>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</si>
  <si>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</si>
  <si>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</si>
  <si>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</si>
  <si>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</si>
  <si>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</si>
  <si>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</si>
  <si>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</si>
  <si>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</si>
  <si>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</si>
  <si>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</si>
  <si>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</si>
  <si>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</si>
  <si>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</si>
  <si>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</si>
  <si>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</si>
  <si>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</si>
  <si>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</si>
  <si>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</si>
  <si>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</si>
  <si>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</si>
  <si>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</si>
  <si>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</si>
  <si>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</si>
  <si>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</si>
  <si>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</si>
  <si>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</si>
  <si>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</si>
  <si>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</si>
  <si>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</si>
  <si>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</si>
  <si>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</si>
  <si>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</si>
  <si>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</si>
  <si>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</si>
  <si>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</si>
  <si>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</si>
  <si>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</si>
  <si>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</si>
  <si>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</si>
  <si>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</si>
  <si>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</si>
  <si>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</si>
  <si>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</si>
  <si>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</si>
  <si>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</si>
  <si>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</si>
  <si>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</si>
  <si>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</si>
  <si>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</si>
  <si>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</si>
  <si>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</si>
  <si>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</si>
  <si>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</si>
  <si>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</si>
  <si>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</si>
  <si>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</si>
  <si>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</si>
  <si>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</si>
  <si>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</si>
  <si>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</si>
  <si>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</si>
  <si>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</si>
  <si>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</si>
  <si>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</si>
  <si>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</si>
  <si>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</si>
  <si>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</si>
  <si>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</si>
  <si>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</si>
  <si>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</si>
  <si>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</si>
  <si>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</si>
  <si>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</si>
  <si>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</si>
  <si>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</si>
  <si>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</si>
  <si>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</si>
  <si>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</si>
  <si>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</si>
  <si>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</si>
  <si>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</si>
  <si>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</si>
  <si>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</si>
  <si>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</si>
  <si>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</si>
  <si>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</si>
  <si>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</si>
  <si>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</si>
  <si>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</si>
  <si>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</si>
  <si>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</si>
  <si>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</si>
  <si>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</si>
  <si>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</si>
  <si>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</si>
  <si>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</si>
  <si>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</si>
  <si>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</si>
  <si>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</si>
  <si>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</si>
  <si>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</si>
  <si>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</si>
  <si>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</si>
  <si>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</si>
  <si>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</si>
  <si>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</si>
  <si>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</si>
  <si>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</si>
  <si>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</si>
  <si>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</si>
  <si>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</si>
  <si>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</si>
  <si>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</si>
  <si>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</si>
  <si>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</si>
  <si>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</si>
  <si>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</si>
  <si>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</si>
  <si>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</si>
  <si>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</si>
  <si>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</si>
  <si>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</si>
  <si>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</si>
  <si>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</si>
  <si>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</si>
  <si>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</si>
  <si>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</si>
  <si>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</si>
  <si>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</si>
  <si>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</si>
  <si>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</si>
  <si>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</si>
  <si>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</si>
  <si>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</si>
  <si>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</si>
  <si>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</si>
  <si>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</si>
  <si>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</si>
  <si>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</si>
  <si>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</si>
  <si>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</si>
  <si>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</si>
  <si>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</si>
  <si>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</si>
  <si>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</si>
  <si>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</si>
  <si>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</si>
  <si>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</si>
  <si>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</si>
  <si>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</si>
  <si>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</si>
  <si>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</si>
  <si>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</si>
  <si>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</si>
  <si>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</si>
  <si>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</si>
  <si>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</si>
  <si>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</si>
  <si>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</si>
  <si>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</si>
  <si>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</si>
  <si>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</si>
  <si>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</si>
  <si>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</si>
  <si>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</si>
  <si>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</si>
  <si>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</si>
  <si>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</si>
  <si>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</si>
  <si>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</si>
  <si>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</si>
  <si>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</si>
  <si>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</si>
  <si>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08/06</t>
  </si>
  <si>
    <t>11/10</t>
  </si>
  <si>
    <t>08/26</t>
  </si>
  <si>
    <t>7/25</t>
  </si>
  <si>
    <t>Kearsarge Regional School District</t>
  </si>
  <si>
    <t xml:space="preserve">Cost per pupil increased approximately 7% from prior year.  </t>
  </si>
  <si>
    <t xml:space="preserve">General Fund expenditures were overall up 2.7% or $1,005,567 from prior year. </t>
  </si>
  <si>
    <t>Special Rev Fund expenditures were up 2.2% or $19,340 from prior year.</t>
  </si>
  <si>
    <t>Capital Items were down 13.89% or ($73,613) from prior year.</t>
  </si>
  <si>
    <t>Transportation was down 8.9% or ($226,544) from prior year.</t>
  </si>
  <si>
    <t>Down 13.83% from Prior year in the amount of ($233,728) in out of district tuition.</t>
  </si>
  <si>
    <t>Building Aid has $109,002.47 more than original amount of $842,448.68 per DOE.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</si>
</sst>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.0500000000000007"/>
      <color indexed="8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30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9" fontId="2" fillId="0" borderId="0" xfId="0" quotePrefix="1" applyNumberFormat="1" applyFont="1" applyAlignment="1" applyProtection="1">
      <alignment horizontal="center"/>
      <protection locked="0"/>
    </xf>
    <xf numFmtId="0" fontId="2" fillId="0" borderId="0" xfId="0" quotePrefix="1" applyNumberFormat="1" applyFont="1" applyAlignment="1" applyProtection="1">
      <alignment horizontal="center"/>
      <protection locked="0"/>
    </xf>
    <xf numFmtId="7" fontId="38" fillId="0" borderId="0" xfId="0" applyNumberFormat="1" applyFont="1" applyAlignment="1" applyProtection="1">
      <alignment horizontal="right" vertical="center"/>
      <protection locked="0"/>
    </xf>
    <xf numFmtId="7" fontId="38" fillId="0" borderId="23" xfId="0" applyNumberFormat="1" applyFont="1" applyBorder="1" applyAlignment="1" applyProtection="1">
      <alignment horizontal="right" vertical="center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activeCell="C6" sqref="C6"/>
      <selection pane="topRight" activeCell="C6" sqref="C6"/>
      <selection pane="bottomLeft" activeCell="C6" sqref="C6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.2" customHeight="1" x14ac:dyDescent="0.2">
      <c r="A2" s="176" t="s">
        <v>916</v>
      </c>
      <c r="B2" s="21">
        <v>276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.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.2" customHeight="1" x14ac:dyDescent="0.15">
      <c r="A4" s="1" t="s">
        <v>279</v>
      </c>
      <c r="K4" s="13"/>
      <c r="L4" s="13"/>
    </row>
    <row r="5" spans="1:14" s="3" customFormat="1" ht="12.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.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.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2205679.31</v>
      </c>
      <c r="G9" s="18"/>
      <c r="H9" s="18"/>
      <c r="I9" s="18">
        <v>151155.03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.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3106546.29</v>
      </c>
      <c r="G10" s="18">
        <v>446493.71</v>
      </c>
      <c r="H10" s="18"/>
      <c r="I10" s="18"/>
      <c r="J10" s="67">
        <f>SUM(I440)</f>
        <v>1882225.23</v>
      </c>
      <c r="K10" s="24" t="s">
        <v>289</v>
      </c>
      <c r="L10" s="24" t="s">
        <v>289</v>
      </c>
      <c r="M10" s="8"/>
      <c r="N10" s="272"/>
    </row>
    <row r="11" spans="1:14" s="3" customFormat="1" ht="12.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.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207498.69+515501.9+45732</f>
        <v>768732.59000000008</v>
      </c>
      <c r="G12" s="18">
        <f>10702.9+26285.64</f>
        <v>36988.54</v>
      </c>
      <c r="H12" s="18">
        <f>2737.44+306478.69+1471.89</f>
        <v>310688.02</v>
      </c>
      <c r="I12" s="18"/>
      <c r="J12" s="67">
        <f>SUM(I441)</f>
        <v>2</v>
      </c>
      <c r="K12" s="24" t="s">
        <v>289</v>
      </c>
      <c r="L12" s="24" t="s">
        <v>289</v>
      </c>
      <c r="M12" s="8"/>
      <c r="N12" s="272"/>
    </row>
    <row r="13" spans="1:14" s="3" customFormat="1" ht="12.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82459.27+4054.65+36211.52</f>
        <v>122725.44</v>
      </c>
      <c r="G13" s="18">
        <f>51848.45+81.79+1024.51+4410+160.26+820.19+907.01</f>
        <v>59252.210000000006</v>
      </c>
      <c r="H13" s="18">
        <f>256273.31+114006.99</f>
        <v>370280.3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.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.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.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86240.09</v>
      </c>
      <c r="G16" s="18">
        <v>9916.18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.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17376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.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.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6307299.7199999997</v>
      </c>
      <c r="G19" s="41">
        <f>SUM(G9:G18)</f>
        <v>552650.64</v>
      </c>
      <c r="H19" s="41">
        <f>SUM(H9:H18)</f>
        <v>680968.32000000007</v>
      </c>
      <c r="I19" s="41">
        <f>SUM(I9:I18)</f>
        <v>151155.03</v>
      </c>
      <c r="J19" s="41">
        <f>SUM(J9:J18)</f>
        <v>1882227.23</v>
      </c>
      <c r="K19" s="45" t="s">
        <v>289</v>
      </c>
      <c r="L19" s="45" t="s">
        <v>289</v>
      </c>
      <c r="M19" s="8"/>
      <c r="N19" s="272"/>
    </row>
    <row r="20" spans="1:14" s="3" customFormat="1" ht="12.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.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306478.69+6489.8</f>
        <v>312968.49</v>
      </c>
      <c r="G22" s="18">
        <v>515501.9</v>
      </c>
      <c r="H22" s="18">
        <f>207498.69+13440.34+1471.89+26285.64</f>
        <v>248696.56</v>
      </c>
      <c r="I22" s="18">
        <v>45732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.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.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500843.49</v>
      </c>
      <c r="G24" s="18">
        <v>7126</v>
      </c>
      <c r="H24" s="18">
        <f>566.73+55627.38</f>
        <v>56194.11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.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.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.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.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200502.5+1111616.61-109002.47</f>
        <v>1203116.6400000001</v>
      </c>
      <c r="G28" s="18">
        <v>2675.03</v>
      </c>
      <c r="H28" s="18">
        <f>36033.1</f>
        <v>36033.1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.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1250+7443.49+33.99-1014.92</f>
        <v>7712.5599999999995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.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1272379.8899999999</v>
      </c>
      <c r="G30" s="18">
        <f>1277.21+1350.81+3884.08+1056.7+3349.37+6513.36</f>
        <v>17431.53</v>
      </c>
      <c r="H30" s="18">
        <v>314201.87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.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.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3297021.0700000003</v>
      </c>
      <c r="G32" s="41">
        <f>SUM(G22:G31)</f>
        <v>542734.46000000008</v>
      </c>
      <c r="H32" s="41">
        <f>SUM(H22:H31)</f>
        <v>655125.6399999999</v>
      </c>
      <c r="I32" s="41">
        <f>SUM(I22:I31)</f>
        <v>45732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.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.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.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f>F16</f>
        <v>86240.09</v>
      </c>
      <c r="G35" s="18">
        <f>G16</f>
        <v>9916.18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.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f>F17</f>
        <v>17376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.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.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.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.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.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.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.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.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.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342466.8</v>
      </c>
      <c r="G45" s="18"/>
      <c r="H45" s="18">
        <v>25842.68</v>
      </c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.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821019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.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.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>
        <f>104958.88+464.15</f>
        <v>105423.03</v>
      </c>
      <c r="J48" s="13">
        <f>SUM(I459)</f>
        <v>1882227.23</v>
      </c>
      <c r="K48" s="24" t="s">
        <v>289</v>
      </c>
      <c r="L48" s="24" t="s">
        <v>289</v>
      </c>
      <c r="M48" s="8"/>
      <c r="N48" s="272"/>
    </row>
    <row r="49" spans="1:14" s="3" customFormat="1" ht="12.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1668176.7600000054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.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3010278.6500000055</v>
      </c>
      <c r="G51" s="41">
        <f>SUM(G35:G50)</f>
        <v>9916.18</v>
      </c>
      <c r="H51" s="41">
        <f>SUM(H35:H50)</f>
        <v>25842.68</v>
      </c>
      <c r="I51" s="41">
        <f>SUM(I35:I50)</f>
        <v>105423.03</v>
      </c>
      <c r="J51" s="41">
        <f>SUM(J35:J50)</f>
        <v>1882227.23</v>
      </c>
      <c r="K51" s="45" t="s">
        <v>289</v>
      </c>
      <c r="L51" s="45" t="s">
        <v>289</v>
      </c>
      <c r="N51" s="270"/>
    </row>
    <row r="52" spans="1:14" s="3" customFormat="1" ht="12.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6307299.7200000063</v>
      </c>
      <c r="G52" s="41">
        <f>G51+G32</f>
        <v>552650.64000000013</v>
      </c>
      <c r="H52" s="41">
        <f>H51+H32</f>
        <v>680968.32</v>
      </c>
      <c r="I52" s="41">
        <f>I51+I32</f>
        <v>151155.03</v>
      </c>
      <c r="J52" s="41">
        <f>J51+J32</f>
        <v>1882227.23</v>
      </c>
      <c r="K52" s="45" t="s">
        <v>289</v>
      </c>
      <c r="L52" s="45" t="s">
        <v>289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.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.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.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25940101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.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.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.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25940101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.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.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.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23822.69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.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.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.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9257.02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.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.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74032.160000000003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.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3653.14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.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.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.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.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.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.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.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.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.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4427.71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.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115192.72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.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.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.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.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.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.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.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.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.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.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.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.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.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.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.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17671.47</v>
      </c>
      <c r="G96" s="18">
        <v>1910.06</v>
      </c>
      <c r="H96" s="18"/>
      <c r="I96" s="18">
        <v>464.15</v>
      </c>
      <c r="J96" s="18">
        <f>H408</f>
        <v>8350.0400000000009</v>
      </c>
      <c r="K96" s="24" t="s">
        <v>289</v>
      </c>
      <c r="L96" s="24" t="s">
        <v>289</v>
      </c>
      <c r="M96" s="8"/>
      <c r="N96" s="272"/>
    </row>
    <row r="97" spans="1:14" s="3" customFormat="1" ht="12.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368535.05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.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.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.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.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6513.03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.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.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.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.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.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.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.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.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.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34775.94</v>
      </c>
      <c r="G110" s="18">
        <v>49154.13</v>
      </c>
      <c r="H110" s="18">
        <f>115656.99+925</f>
        <v>116581.99</v>
      </c>
      <c r="I110" s="18"/>
      <c r="J110" s="18">
        <f>I408</f>
        <v>42159.790000000008</v>
      </c>
      <c r="K110" s="24" t="s">
        <v>289</v>
      </c>
      <c r="L110" s="24" t="s">
        <v>289</v>
      </c>
      <c r="M110" s="8"/>
      <c r="N110" s="272"/>
    </row>
    <row r="111" spans="1:14" ht="12.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58960.44</v>
      </c>
      <c r="G111" s="41">
        <f>SUM(G96:G110)</f>
        <v>419599.24</v>
      </c>
      <c r="H111" s="41">
        <f>SUM(H96:H110)</f>
        <v>116581.99</v>
      </c>
      <c r="I111" s="41">
        <f>SUM(I96:I110)</f>
        <v>464.15</v>
      </c>
      <c r="J111" s="41">
        <f>SUM(J96:J110)</f>
        <v>50509.830000000009</v>
      </c>
      <c r="K111" s="45" t="s">
        <v>289</v>
      </c>
      <c r="L111" s="45" t="s">
        <v>289</v>
      </c>
      <c r="N111" s="270"/>
    </row>
    <row r="112" spans="1:14" s="3" customFormat="1" ht="12.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26114254.16</v>
      </c>
      <c r="G112" s="41">
        <f>G60+G111</f>
        <v>419599.24</v>
      </c>
      <c r="H112" s="41">
        <f>H60+H79+H94+H111</f>
        <v>116581.99</v>
      </c>
      <c r="I112" s="41">
        <f>I60+I111</f>
        <v>464.15</v>
      </c>
      <c r="J112" s="41">
        <f>J60+J111</f>
        <v>50509.830000000009</v>
      </c>
      <c r="K112" s="45" t="s">
        <v>289</v>
      </c>
      <c r="L112" s="45" t="s">
        <v>289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.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2855499.38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.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6900650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.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.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.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9756149.379999999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.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.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f>843448.68+109002.47</f>
        <v>952451.15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.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.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838164.92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.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.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26070.2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.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.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.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.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6301.88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.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.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.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1816686.27</v>
      </c>
      <c r="G136" s="41">
        <f>SUM(G123:G135)</f>
        <v>6301.88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.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.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.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.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11572835.649999999</v>
      </c>
      <c r="G140" s="41">
        <f>G121+SUM(G136:G137)</f>
        <v>6301.88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.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.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.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.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.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.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.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.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.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.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224480.9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.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86128.38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.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.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55910.48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.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204121.38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.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438675.85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.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348560.18+36211.52+4054.65</f>
        <v>388826.35000000003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.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13292.8</v>
      </c>
      <c r="H161" s="18">
        <v>10800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.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388826.35000000003</v>
      </c>
      <c r="G162" s="41">
        <f>SUM(G150:G161)</f>
        <v>217414.18</v>
      </c>
      <c r="H162" s="41">
        <f>SUM(H150:H161)</f>
        <v>815995.61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.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.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.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.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.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.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.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388826.35000000003</v>
      </c>
      <c r="G169" s="41">
        <f>G147+G162+SUM(G163:G168)</f>
        <v>217414.18</v>
      </c>
      <c r="H169" s="41">
        <f>H147+H162+SUM(H163:H168)</f>
        <v>815995.61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.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.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.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63483.96</v>
      </c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.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63483.96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.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.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20504.11</v>
      </c>
      <c r="H179" s="18"/>
      <c r="I179" s="18"/>
      <c r="J179" s="18">
        <v>125000</v>
      </c>
      <c r="K179" s="24" t="s">
        <v>289</v>
      </c>
      <c r="L179" s="24" t="s">
        <v>289</v>
      </c>
      <c r="M179" s="8"/>
      <c r="N179" s="272"/>
    </row>
    <row r="180" spans="1:14" s="3" customFormat="1" ht="12.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.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.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.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20504.11</v>
      </c>
      <c r="H183" s="41">
        <f>SUM(H179:H182)</f>
        <v>0</v>
      </c>
      <c r="I183" s="41">
        <f>SUM(I179:I182)</f>
        <v>0</v>
      </c>
      <c r="J183" s="41">
        <f>SUM(J179:J182)</f>
        <v>125000</v>
      </c>
      <c r="K183" s="45" t="s">
        <v>289</v>
      </c>
      <c r="L183" s="45" t="s">
        <v>289</v>
      </c>
      <c r="M183" s="8"/>
      <c r="N183" s="272"/>
    </row>
    <row r="184" spans="1:14" s="3" customFormat="1" ht="12.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.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.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117000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.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.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117000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.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.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.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.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180483.96</v>
      </c>
      <c r="G192" s="41">
        <f>G183+SUM(G188:G191)</f>
        <v>20504.11</v>
      </c>
      <c r="H192" s="41">
        <f>+H183+SUM(H188:H191)</f>
        <v>0</v>
      </c>
      <c r="I192" s="41">
        <f>I177+I183+SUM(I188:I191)</f>
        <v>0</v>
      </c>
      <c r="J192" s="41">
        <f>J183</f>
        <v>125000</v>
      </c>
      <c r="K192" s="45" t="s">
        <v>289</v>
      </c>
      <c r="L192" s="45" t="s">
        <v>289</v>
      </c>
      <c r="M192" s="8"/>
      <c r="N192" s="272"/>
    </row>
    <row r="193" spans="1:14" s="3" customFormat="1" ht="12.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38256400.120000005</v>
      </c>
      <c r="G193" s="47">
        <f>G112+G140+G169+G192</f>
        <v>663819.41</v>
      </c>
      <c r="H193" s="47">
        <f>H112+H140+H169+H192</f>
        <v>932577.6</v>
      </c>
      <c r="I193" s="47">
        <f>I112+I140+I169+I192</f>
        <v>464.15</v>
      </c>
      <c r="J193" s="47">
        <f>J112+J140+J192</f>
        <v>175509.83000000002</v>
      </c>
      <c r="K193" s="45" t="s">
        <v>289</v>
      </c>
      <c r="L193" s="45" t="s">
        <v>289</v>
      </c>
      <c r="M193" s="8"/>
      <c r="N193" s="272"/>
    </row>
    <row r="194" spans="1:14" s="3" customFormat="1" ht="12.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.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.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3446832.69</v>
      </c>
      <c r="G197" s="18">
        <v>2117687.2799999998</v>
      </c>
      <c r="H197" s="18">
        <v>160309.98000000001</v>
      </c>
      <c r="I197" s="18">
        <v>238019.79</v>
      </c>
      <c r="J197" s="18">
        <v>107794.86</v>
      </c>
      <c r="K197" s="18"/>
      <c r="L197" s="19">
        <f>SUM(F197:K197)</f>
        <v>6070644.6000000006</v>
      </c>
      <c r="M197" s="8"/>
      <c r="N197" s="272"/>
    </row>
    <row r="198" spans="1:14" s="3" customFormat="1" ht="12.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1714098.06</v>
      </c>
      <c r="G198" s="18">
        <v>637349.31999999995</v>
      </c>
      <c r="H198" s="18">
        <v>185300.41</v>
      </c>
      <c r="I198" s="18">
        <v>35279.42</v>
      </c>
      <c r="J198" s="18"/>
      <c r="K198" s="18"/>
      <c r="L198" s="19">
        <f>SUM(F198:K198)</f>
        <v>2572027.21</v>
      </c>
      <c r="M198" s="8"/>
      <c r="N198" s="272"/>
    </row>
    <row r="199" spans="1:14" s="3" customFormat="1" ht="12.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>
        <v>225</v>
      </c>
      <c r="J200" s="18"/>
      <c r="K200" s="18"/>
      <c r="L200" s="19">
        <f>SUM(F200:K200)</f>
        <v>225</v>
      </c>
      <c r="M200" s="8"/>
      <c r="N200" s="272"/>
    </row>
    <row r="201" spans="1:14" s="3" customFormat="1" ht="12.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.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389357.38</v>
      </c>
      <c r="G202" s="18">
        <v>208119.12</v>
      </c>
      <c r="H202" s="18">
        <v>1194.2</v>
      </c>
      <c r="I202" s="18">
        <v>5096.66</v>
      </c>
      <c r="J202" s="18"/>
      <c r="K202" s="18"/>
      <c r="L202" s="19">
        <f t="shared" ref="L202:L208" si="0">SUM(F202:K202)</f>
        <v>603767.36</v>
      </c>
      <c r="M202" s="8"/>
      <c r="N202" s="272"/>
    </row>
    <row r="203" spans="1:14" s="3" customFormat="1" ht="12.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92745.1</v>
      </c>
      <c r="G203" s="18">
        <v>59597.07</v>
      </c>
      <c r="H203" s="18">
        <v>25782.66</v>
      </c>
      <c r="I203" s="18">
        <v>16409.71</v>
      </c>
      <c r="J203" s="18">
        <v>679.19</v>
      </c>
      <c r="K203" s="18"/>
      <c r="L203" s="19">
        <f t="shared" si="0"/>
        <v>195213.73</v>
      </c>
      <c r="M203" s="8"/>
      <c r="N203" s="272"/>
    </row>
    <row r="204" spans="1:14" s="3" customFormat="1" ht="12.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393972.8</v>
      </c>
      <c r="G204" s="18">
        <v>165230.35</v>
      </c>
      <c r="H204" s="18">
        <v>127444.45</v>
      </c>
      <c r="I204" s="18">
        <v>9757.3799999999992</v>
      </c>
      <c r="J204" s="18">
        <v>1770.08</v>
      </c>
      <c r="K204" s="18">
        <v>7656.79</v>
      </c>
      <c r="L204" s="19">
        <f t="shared" si="0"/>
        <v>705831.85</v>
      </c>
      <c r="M204" s="8"/>
      <c r="N204" s="272"/>
    </row>
    <row r="205" spans="1:14" s="3" customFormat="1" ht="12.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653637.11</v>
      </c>
      <c r="G205" s="18">
        <v>316154.34999999998</v>
      </c>
      <c r="H205" s="18">
        <v>28778.84</v>
      </c>
      <c r="I205" s="18">
        <v>1639.87</v>
      </c>
      <c r="J205" s="18">
        <v>1976.35</v>
      </c>
      <c r="K205" s="18">
        <v>1780</v>
      </c>
      <c r="L205" s="19">
        <f t="shared" si="0"/>
        <v>1003966.5199999999</v>
      </c>
      <c r="M205" s="8"/>
      <c r="N205" s="272"/>
    </row>
    <row r="206" spans="1:14" s="3" customFormat="1" ht="12.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306857.03999999998</v>
      </c>
      <c r="G207" s="18">
        <v>167143.67000000001</v>
      </c>
      <c r="H207" s="18">
        <v>624764.21</v>
      </c>
      <c r="I207" s="18">
        <v>253795.36</v>
      </c>
      <c r="J207" s="18">
        <v>5108.3</v>
      </c>
      <c r="K207" s="18"/>
      <c r="L207" s="19">
        <f t="shared" si="0"/>
        <v>1357668.5799999998</v>
      </c>
      <c r="M207" s="8"/>
      <c r="N207" s="272"/>
    </row>
    <row r="208" spans="1:14" s="3" customFormat="1" ht="12.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988844.67</v>
      </c>
      <c r="I208" s="18">
        <v>73523.88</v>
      </c>
      <c r="J208" s="18"/>
      <c r="K208" s="18"/>
      <c r="L208" s="19">
        <f t="shared" si="0"/>
        <v>1062368.55</v>
      </c>
      <c r="M208" s="8"/>
      <c r="N208" s="272"/>
    </row>
    <row r="209" spans="1:14" s="3" customFormat="1" ht="12.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.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6997500.1799999997</v>
      </c>
      <c r="G211" s="41">
        <f t="shared" si="1"/>
        <v>3671281.1599999997</v>
      </c>
      <c r="H211" s="41">
        <f t="shared" si="1"/>
        <v>2142419.42</v>
      </c>
      <c r="I211" s="41">
        <f t="shared" si="1"/>
        <v>633747.06999999995</v>
      </c>
      <c r="J211" s="41">
        <f t="shared" si="1"/>
        <v>117328.78000000001</v>
      </c>
      <c r="K211" s="41">
        <f t="shared" si="1"/>
        <v>9436.7900000000009</v>
      </c>
      <c r="L211" s="41">
        <f t="shared" si="1"/>
        <v>13571713.4</v>
      </c>
      <c r="M211" s="8"/>
      <c r="N211" s="272"/>
    </row>
    <row r="212" spans="1:14" s="3" customFormat="1" ht="12.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.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.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3523289.52</v>
      </c>
      <c r="G215" s="18">
        <v>1282941.56</v>
      </c>
      <c r="H215" s="18">
        <v>144461.32999999999</v>
      </c>
      <c r="I215" s="18">
        <v>59772.46</v>
      </c>
      <c r="J215" s="18">
        <v>53477.5</v>
      </c>
      <c r="K215" s="18">
        <v>1014</v>
      </c>
      <c r="L215" s="19">
        <f>SUM(F215:K215)</f>
        <v>5064956.37</v>
      </c>
      <c r="M215" s="8"/>
      <c r="N215" s="272"/>
    </row>
    <row r="216" spans="1:14" s="3" customFormat="1" ht="12.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808386.74</v>
      </c>
      <c r="G216" s="18">
        <v>289626.28999999998</v>
      </c>
      <c r="H216" s="18">
        <v>329949.53999999998</v>
      </c>
      <c r="I216" s="18">
        <v>11287.52</v>
      </c>
      <c r="J216" s="18"/>
      <c r="K216" s="18">
        <v>3635.17</v>
      </c>
      <c r="L216" s="19">
        <f>SUM(F216:K216)</f>
        <v>1442885.26</v>
      </c>
      <c r="M216" s="8"/>
      <c r="N216" s="272"/>
    </row>
    <row r="217" spans="1:14" s="3" customFormat="1" ht="12.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103131.44</v>
      </c>
      <c r="G218" s="18">
        <v>16857.150000000001</v>
      </c>
      <c r="H218" s="18">
        <v>7465</v>
      </c>
      <c r="I218" s="18">
        <v>295.95</v>
      </c>
      <c r="J218" s="18">
        <v>6140.21</v>
      </c>
      <c r="K218" s="18">
        <v>1860</v>
      </c>
      <c r="L218" s="19">
        <f>SUM(F218:K218)</f>
        <v>135749.75</v>
      </c>
      <c r="M218" s="8"/>
      <c r="N218" s="272"/>
    </row>
    <row r="219" spans="1:14" s="3" customFormat="1" ht="12.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.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257504.38</v>
      </c>
      <c r="G220" s="18">
        <v>133427.19</v>
      </c>
      <c r="H220" s="18">
        <v>484.4</v>
      </c>
      <c r="I220" s="18">
        <v>2815.51</v>
      </c>
      <c r="J220" s="18">
        <v>1168.0999999999999</v>
      </c>
      <c r="K220" s="18"/>
      <c r="L220" s="19">
        <f t="shared" ref="L220:L226" si="2">SUM(F220:K220)</f>
        <v>395399.58</v>
      </c>
      <c r="M220" s="8"/>
      <c r="N220" s="272"/>
    </row>
    <row r="221" spans="1:14" s="3" customFormat="1" ht="12.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73418.210000000006</v>
      </c>
      <c r="G221" s="18">
        <v>47733.47</v>
      </c>
      <c r="H221" s="18">
        <v>13861.02</v>
      </c>
      <c r="I221" s="18">
        <v>3802.82</v>
      </c>
      <c r="J221" s="18"/>
      <c r="K221" s="18"/>
      <c r="L221" s="19">
        <f t="shared" si="2"/>
        <v>138815.52000000002</v>
      </c>
      <c r="M221" s="8"/>
      <c r="N221" s="272"/>
    </row>
    <row r="222" spans="1:14" s="3" customFormat="1" ht="12.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214894.23</v>
      </c>
      <c r="G222" s="18">
        <v>90125.61</v>
      </c>
      <c r="H222" s="18">
        <v>69515.16</v>
      </c>
      <c r="I222" s="18">
        <v>5322.21</v>
      </c>
      <c r="J222" s="18">
        <v>965.49</v>
      </c>
      <c r="K222" s="18">
        <v>4176.4399999999996</v>
      </c>
      <c r="L222" s="19">
        <f t="shared" si="2"/>
        <v>384999.14</v>
      </c>
      <c r="M222" s="8"/>
      <c r="N222" s="272"/>
    </row>
    <row r="223" spans="1:14" s="3" customFormat="1" ht="12.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353208.69</v>
      </c>
      <c r="G223" s="18">
        <v>174766.78</v>
      </c>
      <c r="H223" s="18">
        <v>21256.76</v>
      </c>
      <c r="I223" s="18"/>
      <c r="J223" s="18"/>
      <c r="K223" s="18">
        <v>3089</v>
      </c>
      <c r="L223" s="19">
        <f t="shared" si="2"/>
        <v>552321.23</v>
      </c>
      <c r="M223" s="8"/>
      <c r="N223" s="272"/>
    </row>
    <row r="224" spans="1:14" s="3" customFormat="1" ht="12.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156576.07</v>
      </c>
      <c r="G225" s="18">
        <v>82074.710000000006</v>
      </c>
      <c r="H225" s="18">
        <v>396166.29</v>
      </c>
      <c r="I225" s="18">
        <v>238077.36</v>
      </c>
      <c r="J225" s="18"/>
      <c r="K225" s="18"/>
      <c r="L225" s="19">
        <f t="shared" si="2"/>
        <v>872894.43</v>
      </c>
      <c r="M225" s="8"/>
      <c r="N225" s="272"/>
    </row>
    <row r="226" spans="1:14" s="3" customFormat="1" ht="12.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461216.18</v>
      </c>
      <c r="I226" s="18">
        <v>40103.94</v>
      </c>
      <c r="J226" s="18"/>
      <c r="K226" s="18"/>
      <c r="L226" s="19">
        <f t="shared" si="2"/>
        <v>501320.12</v>
      </c>
      <c r="M226" s="8"/>
      <c r="N226" s="272"/>
    </row>
    <row r="227" spans="1:14" s="3" customFormat="1" ht="12.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.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5490409.2800000012</v>
      </c>
      <c r="G229" s="41">
        <f>SUM(G215:G228)</f>
        <v>2117552.7600000002</v>
      </c>
      <c r="H229" s="41">
        <f>SUM(H215:H228)</f>
        <v>1444375.68</v>
      </c>
      <c r="I229" s="41">
        <f>SUM(I215:I228)</f>
        <v>361477.76999999996</v>
      </c>
      <c r="J229" s="41">
        <f>SUM(J215:J228)</f>
        <v>61751.299999999996</v>
      </c>
      <c r="K229" s="41">
        <f t="shared" si="3"/>
        <v>13774.61</v>
      </c>
      <c r="L229" s="41">
        <f t="shared" si="3"/>
        <v>9489341.3999999985</v>
      </c>
      <c r="M229" s="8"/>
      <c r="N229" s="272"/>
    </row>
    <row r="230" spans="1:14" s="3" customFormat="1" ht="12.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.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.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3051713.1</v>
      </c>
      <c r="G233" s="18">
        <v>1589218.28</v>
      </c>
      <c r="H233" s="18">
        <v>132680.29999999999</v>
      </c>
      <c r="I233" s="18">
        <v>106012.81</v>
      </c>
      <c r="J233" s="18">
        <v>104004.14</v>
      </c>
      <c r="K233" s="18">
        <v>7471.99</v>
      </c>
      <c r="L233" s="19">
        <f>SUM(F233:K233)</f>
        <v>4991100.6199999992</v>
      </c>
      <c r="M233" s="8"/>
      <c r="N233" s="272"/>
    </row>
    <row r="234" spans="1:14" s="3" customFormat="1" ht="12.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781975.02</v>
      </c>
      <c r="G234" s="18">
        <v>289362.76</v>
      </c>
      <c r="H234" s="18">
        <v>1262328.43</v>
      </c>
      <c r="I234" s="18">
        <v>13308.09</v>
      </c>
      <c r="J234" s="18">
        <v>962.13</v>
      </c>
      <c r="K234" s="18"/>
      <c r="L234" s="19">
        <f>SUM(F234:K234)</f>
        <v>2347936.4299999997</v>
      </c>
      <c r="M234" s="8"/>
      <c r="N234" s="272"/>
    </row>
    <row r="235" spans="1:14" s="3" customFormat="1" ht="12.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79007.929999999993</v>
      </c>
      <c r="I235" s="18"/>
      <c r="J235" s="18"/>
      <c r="K235" s="18"/>
      <c r="L235" s="19">
        <f>SUM(F235:K235)</f>
        <v>79007.929999999993</v>
      </c>
      <c r="M235" s="8"/>
      <c r="N235" s="272"/>
    </row>
    <row r="236" spans="1:14" s="3" customFormat="1" ht="12.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185844.99</v>
      </c>
      <c r="G236" s="18">
        <v>28577.99</v>
      </c>
      <c r="H236" s="18">
        <v>47855.76</v>
      </c>
      <c r="I236" s="18">
        <v>26040.02</v>
      </c>
      <c r="J236" s="18">
        <v>63233.89</v>
      </c>
      <c r="K236" s="18">
        <v>14070.01</v>
      </c>
      <c r="L236" s="19">
        <f>SUM(F236:K236)</f>
        <v>365622.66000000003</v>
      </c>
      <c r="M236" s="8"/>
      <c r="N236" s="272"/>
    </row>
    <row r="237" spans="1:14" s="3" customFormat="1" ht="12.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.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338924.93</v>
      </c>
      <c r="G238" s="18">
        <v>151488.54999999999</v>
      </c>
      <c r="H238" s="18">
        <v>169</v>
      </c>
      <c r="I238" s="18">
        <v>8011.15</v>
      </c>
      <c r="J238" s="18">
        <v>43</v>
      </c>
      <c r="K238" s="18">
        <v>109</v>
      </c>
      <c r="L238" s="19">
        <f t="shared" ref="L238:L244" si="4">SUM(F238:K238)</f>
        <v>498745.63</v>
      </c>
      <c r="M238" s="8"/>
      <c r="N238" s="272"/>
    </row>
    <row r="239" spans="1:14" s="3" customFormat="1" ht="12.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144843.82</v>
      </c>
      <c r="G239" s="18">
        <v>75016.490000000005</v>
      </c>
      <c r="H239" s="18">
        <v>18481.349999999999</v>
      </c>
      <c r="I239" s="18">
        <v>19330.8</v>
      </c>
      <c r="J239" s="18">
        <v>8829.0400000000009</v>
      </c>
      <c r="K239" s="18"/>
      <c r="L239" s="19">
        <f t="shared" si="4"/>
        <v>266501.5</v>
      </c>
      <c r="M239" s="8"/>
      <c r="N239" s="272"/>
    </row>
    <row r="240" spans="1:14" s="3" customFormat="1" ht="12.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286525.68</v>
      </c>
      <c r="G240" s="18">
        <v>120167.53</v>
      </c>
      <c r="H240" s="18">
        <v>92686.88</v>
      </c>
      <c r="I240" s="18">
        <v>7096.27</v>
      </c>
      <c r="J240" s="18">
        <v>1287.33</v>
      </c>
      <c r="K240" s="18">
        <v>5568.57</v>
      </c>
      <c r="L240" s="19">
        <f t="shared" si="4"/>
        <v>513332.26</v>
      </c>
      <c r="M240" s="8"/>
      <c r="N240" s="272"/>
    </row>
    <row r="241" spans="1:14" s="3" customFormat="1" ht="12.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571369.27</v>
      </c>
      <c r="G241" s="18">
        <v>323876.19</v>
      </c>
      <c r="H241" s="18">
        <v>73412.05</v>
      </c>
      <c r="I241" s="18">
        <v>20611.43</v>
      </c>
      <c r="J241" s="18"/>
      <c r="K241" s="18">
        <v>13433.29</v>
      </c>
      <c r="L241" s="19">
        <f t="shared" si="4"/>
        <v>1002702.2300000001</v>
      </c>
      <c r="M241" s="8"/>
      <c r="N241" s="272"/>
    </row>
    <row r="242" spans="1:14" s="3" customFormat="1" ht="12.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214981.78</v>
      </c>
      <c r="G243" s="18">
        <v>122727.39</v>
      </c>
      <c r="H243" s="18">
        <v>1040788.37</v>
      </c>
      <c r="I243" s="18">
        <v>293905.53000000003</v>
      </c>
      <c r="J243" s="18"/>
      <c r="K243" s="18"/>
      <c r="L243" s="19">
        <f t="shared" si="4"/>
        <v>1672403.07</v>
      </c>
      <c r="M243" s="8"/>
      <c r="N243" s="272"/>
    </row>
    <row r="244" spans="1:14" s="3" customFormat="1" ht="12.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681944.12</v>
      </c>
      <c r="I244" s="18">
        <v>53471.91</v>
      </c>
      <c r="J244" s="18"/>
      <c r="K244" s="18"/>
      <c r="L244" s="19">
        <f t="shared" si="4"/>
        <v>735416.03</v>
      </c>
      <c r="M244" s="8"/>
      <c r="N244" s="272"/>
    </row>
    <row r="245" spans="1:14" s="3" customFormat="1" ht="12.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.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5576178.5900000008</v>
      </c>
      <c r="G247" s="41">
        <f t="shared" si="5"/>
        <v>2700435.18</v>
      </c>
      <c r="H247" s="41">
        <f t="shared" si="5"/>
        <v>3429354.19</v>
      </c>
      <c r="I247" s="41">
        <f t="shared" si="5"/>
        <v>547788.01</v>
      </c>
      <c r="J247" s="41">
        <f t="shared" si="5"/>
        <v>178359.53</v>
      </c>
      <c r="K247" s="41">
        <f t="shared" si="5"/>
        <v>40652.86</v>
      </c>
      <c r="L247" s="41">
        <f t="shared" si="5"/>
        <v>12472768.359999999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.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14437.62</v>
      </c>
      <c r="G251" s="18">
        <v>3357.97</v>
      </c>
      <c r="H251" s="18"/>
      <c r="I251" s="18"/>
      <c r="J251" s="18"/>
      <c r="K251" s="18"/>
      <c r="L251" s="19">
        <f t="shared" si="6"/>
        <v>17795.59</v>
      </c>
      <c r="M251" s="8"/>
      <c r="N251" s="272"/>
    </row>
    <row r="252" spans="1:14" s="3" customFormat="1" ht="12.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14437.62</v>
      </c>
      <c r="G256" s="41">
        <f t="shared" si="7"/>
        <v>3357.97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17795.59</v>
      </c>
      <c r="M256" s="8"/>
      <c r="N256" s="272"/>
    </row>
    <row r="257" spans="1:14" s="3" customFormat="1" ht="12.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18078525.670000002</v>
      </c>
      <c r="G257" s="41">
        <f t="shared" si="8"/>
        <v>8492627.0700000003</v>
      </c>
      <c r="H257" s="41">
        <f t="shared" si="8"/>
        <v>7016149.2899999991</v>
      </c>
      <c r="I257" s="41">
        <f t="shared" si="8"/>
        <v>1543012.8499999999</v>
      </c>
      <c r="J257" s="41">
        <f t="shared" si="8"/>
        <v>357439.61</v>
      </c>
      <c r="K257" s="41">
        <f t="shared" si="8"/>
        <v>63864.26</v>
      </c>
      <c r="L257" s="41">
        <f t="shared" si="8"/>
        <v>35551618.75</v>
      </c>
      <c r="M257" s="8"/>
      <c r="N257" s="272"/>
    </row>
    <row r="258" spans="1:14" s="3" customFormat="1" ht="12.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.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.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1378877.73</v>
      </c>
      <c r="L260" s="19">
        <f>SUM(F260:K260)</f>
        <v>1378877.73</v>
      </c>
      <c r="M260" s="8"/>
      <c r="N260" s="272"/>
    </row>
    <row r="261" spans="1:14" ht="12.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728428.27</v>
      </c>
      <c r="L261" s="19">
        <f>SUM(F261:K261)</f>
        <v>728428.27</v>
      </c>
      <c r="N261" s="270"/>
    </row>
    <row r="262" spans="1:14" ht="12.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.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20504.11</v>
      </c>
      <c r="L263" s="19">
        <f>SUM(F263:K263)</f>
        <v>20504.11</v>
      </c>
      <c r="N263" s="270"/>
    </row>
    <row r="264" spans="1:14" ht="12.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125000</v>
      </c>
      <c r="L266" s="19">
        <f t="shared" si="9"/>
        <v>125000</v>
      </c>
      <c r="N266" s="270"/>
    </row>
    <row r="267" spans="1:14" ht="12.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.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2252810.11</v>
      </c>
      <c r="L270" s="41">
        <f t="shared" si="9"/>
        <v>2252810.11</v>
      </c>
      <c r="N270" s="270"/>
    </row>
    <row r="271" spans="1:14" s="3" customFormat="1" ht="12.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18078525.670000002</v>
      </c>
      <c r="G271" s="42">
        <f t="shared" si="11"/>
        <v>8492627.0700000003</v>
      </c>
      <c r="H271" s="42">
        <f t="shared" si="11"/>
        <v>7016149.2899999991</v>
      </c>
      <c r="I271" s="42">
        <f t="shared" si="11"/>
        <v>1543012.8499999999</v>
      </c>
      <c r="J271" s="42">
        <f t="shared" si="11"/>
        <v>357439.61</v>
      </c>
      <c r="K271" s="42">
        <f t="shared" si="11"/>
        <v>2316674.3699999996</v>
      </c>
      <c r="L271" s="42">
        <f t="shared" si="11"/>
        <v>37804428.859999999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.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.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138082.29</v>
      </c>
      <c r="G276" s="18">
        <v>35965.89</v>
      </c>
      <c r="H276" s="18">
        <v>4752</v>
      </c>
      <c r="I276" s="18">
        <v>48878.25</v>
      </c>
      <c r="J276" s="18">
        <v>29996.68</v>
      </c>
      <c r="K276" s="18"/>
      <c r="L276" s="19">
        <f>SUM(F276:K276)</f>
        <v>257675.11</v>
      </c>
      <c r="M276" s="8"/>
      <c r="N276" s="272"/>
    </row>
    <row r="277" spans="1:14" s="3" customFormat="1" ht="12.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71939.78</v>
      </c>
      <c r="G277" s="18">
        <v>42005.67</v>
      </c>
      <c r="H277" s="18"/>
      <c r="I277" s="18">
        <v>3287.32</v>
      </c>
      <c r="J277" s="18">
        <v>30390.54</v>
      </c>
      <c r="K277" s="18"/>
      <c r="L277" s="19">
        <f>SUM(F277:K277)</f>
        <v>147623.31</v>
      </c>
      <c r="M277" s="8"/>
      <c r="N277" s="272"/>
    </row>
    <row r="278" spans="1:14" s="3" customFormat="1" ht="12.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12022.5</v>
      </c>
      <c r="G279" s="18">
        <v>919.75</v>
      </c>
      <c r="H279" s="18"/>
      <c r="I279" s="18">
        <v>2363.83</v>
      </c>
      <c r="J279" s="18"/>
      <c r="K279" s="18"/>
      <c r="L279" s="19">
        <f>SUM(F279:K279)</f>
        <v>15306.08</v>
      </c>
      <c r="M279" s="8"/>
      <c r="N279" s="272"/>
    </row>
    <row r="280" spans="1:14" s="3" customFormat="1" ht="12.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.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55177.57</v>
      </c>
      <c r="G281" s="18">
        <v>13186.24</v>
      </c>
      <c r="H281" s="18"/>
      <c r="I281" s="18">
        <v>52.98</v>
      </c>
      <c r="J281" s="18"/>
      <c r="K281" s="18"/>
      <c r="L281" s="19">
        <f t="shared" ref="L281:L287" si="12">SUM(F281:K281)</f>
        <v>68416.789999999994</v>
      </c>
      <c r="M281" s="8"/>
      <c r="N281" s="272"/>
    </row>
    <row r="282" spans="1:14" s="3" customFormat="1" ht="12.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13652.95</v>
      </c>
      <c r="G282" s="18">
        <v>4254.67</v>
      </c>
      <c r="H282" s="18">
        <v>31885.33</v>
      </c>
      <c r="I282" s="18">
        <v>1951.9</v>
      </c>
      <c r="J282" s="18"/>
      <c r="K282" s="18"/>
      <c r="L282" s="19">
        <f t="shared" si="12"/>
        <v>51744.850000000006</v>
      </c>
      <c r="M282" s="8"/>
      <c r="N282" s="272"/>
    </row>
    <row r="283" spans="1:14" s="3" customFormat="1" ht="12.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1219.3499999999999</v>
      </c>
      <c r="I283" s="18">
        <v>4762</v>
      </c>
      <c r="J283" s="18"/>
      <c r="K283" s="18"/>
      <c r="L283" s="19">
        <f t="shared" si="12"/>
        <v>5981.35</v>
      </c>
      <c r="M283" s="8"/>
      <c r="N283" s="272"/>
    </row>
    <row r="284" spans="1:14" s="3" customFormat="1" ht="12.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11904.9</v>
      </c>
      <c r="L288" s="19">
        <f>SUM(F288:K288)</f>
        <v>11904.9</v>
      </c>
      <c r="M288" s="8"/>
      <c r="N288" s="272"/>
    </row>
    <row r="289" spans="1:14" s="3" customFormat="1" ht="12.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.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290875.09000000003</v>
      </c>
      <c r="G290" s="42">
        <f t="shared" si="13"/>
        <v>96332.22</v>
      </c>
      <c r="H290" s="42">
        <f t="shared" si="13"/>
        <v>37856.68</v>
      </c>
      <c r="I290" s="42">
        <f t="shared" si="13"/>
        <v>61296.280000000006</v>
      </c>
      <c r="J290" s="42">
        <f t="shared" si="13"/>
        <v>60387.22</v>
      </c>
      <c r="K290" s="42">
        <f t="shared" si="13"/>
        <v>11904.9</v>
      </c>
      <c r="L290" s="41">
        <f t="shared" si="13"/>
        <v>558652.39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.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.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2592</v>
      </c>
      <c r="I295" s="18">
        <v>345.03</v>
      </c>
      <c r="J295" s="18">
        <v>16361.83</v>
      </c>
      <c r="K295" s="18"/>
      <c r="L295" s="19">
        <f>SUM(F295:K295)</f>
        <v>19298.86</v>
      </c>
      <c r="M295" s="8"/>
      <c r="N295" s="272"/>
    </row>
    <row r="296" spans="1:14" s="3" customFormat="1" ht="12.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39239.879999999997</v>
      </c>
      <c r="G296" s="18">
        <v>19662.259999999998</v>
      </c>
      <c r="H296" s="18"/>
      <c r="I296" s="18">
        <v>709.13</v>
      </c>
      <c r="J296" s="18"/>
      <c r="K296" s="18"/>
      <c r="L296" s="19">
        <f>SUM(F296:K296)</f>
        <v>59611.27</v>
      </c>
      <c r="M296" s="8"/>
      <c r="N296" s="272"/>
    </row>
    <row r="297" spans="1:14" s="3" customFormat="1" ht="12.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.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20210.78</v>
      </c>
      <c r="G300" s="18">
        <v>5742.58</v>
      </c>
      <c r="H300" s="18"/>
      <c r="I300" s="18"/>
      <c r="J300" s="18"/>
      <c r="K300" s="18"/>
      <c r="L300" s="19">
        <f t="shared" ref="L300:L306" si="14">SUM(F300:K300)</f>
        <v>25953.360000000001</v>
      </c>
      <c r="M300" s="8"/>
      <c r="N300" s="272"/>
    </row>
    <row r="301" spans="1:14" s="3" customFormat="1" ht="12.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v>3374.52</v>
      </c>
      <c r="I301" s="18">
        <v>203.38</v>
      </c>
      <c r="J301" s="18"/>
      <c r="K301" s="18"/>
      <c r="L301" s="19">
        <f t="shared" si="14"/>
        <v>3577.9</v>
      </c>
      <c r="M301" s="8"/>
      <c r="N301" s="272"/>
    </row>
    <row r="302" spans="1:14" s="3" customFormat="1" ht="12.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3292.5</v>
      </c>
      <c r="L307" s="19">
        <f>SUM(F307:K307)</f>
        <v>3292.5</v>
      </c>
      <c r="M307" s="8"/>
      <c r="N307" s="272"/>
    </row>
    <row r="308" spans="1:14" s="3" customFormat="1" ht="12.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.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59450.659999999996</v>
      </c>
      <c r="G309" s="42">
        <f t="shared" si="15"/>
        <v>25404.839999999997</v>
      </c>
      <c r="H309" s="42">
        <f t="shared" si="15"/>
        <v>5966.52</v>
      </c>
      <c r="I309" s="42">
        <f t="shared" si="15"/>
        <v>1257.54</v>
      </c>
      <c r="J309" s="42">
        <f t="shared" si="15"/>
        <v>16361.83</v>
      </c>
      <c r="K309" s="42">
        <f t="shared" si="15"/>
        <v>3292.5</v>
      </c>
      <c r="L309" s="41">
        <f t="shared" si="15"/>
        <v>111733.89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.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.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3000</v>
      </c>
      <c r="G314" s="18">
        <v>678.11</v>
      </c>
      <c r="H314" s="18">
        <v>5721.33</v>
      </c>
      <c r="I314" s="18">
        <v>898</v>
      </c>
      <c r="J314" s="18">
        <v>22203.75</v>
      </c>
      <c r="K314" s="18"/>
      <c r="L314" s="19">
        <f>SUM(F314:K314)</f>
        <v>32501.190000000002</v>
      </c>
      <c r="M314" s="8"/>
      <c r="N314" s="272"/>
    </row>
    <row r="315" spans="1:14" s="3" customFormat="1" ht="12.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52319.839999999997</v>
      </c>
      <c r="G315" s="18">
        <v>27705.86</v>
      </c>
      <c r="H315" s="18"/>
      <c r="I315" s="18">
        <v>999.22</v>
      </c>
      <c r="J315" s="18"/>
      <c r="K315" s="18"/>
      <c r="L315" s="19">
        <f>SUM(F315:K315)</f>
        <v>81024.92</v>
      </c>
      <c r="M315" s="8"/>
      <c r="N315" s="272"/>
    </row>
    <row r="316" spans="1:14" s="3" customFormat="1" ht="12.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.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28478.83</v>
      </c>
      <c r="G319" s="18">
        <v>8091.81</v>
      </c>
      <c r="H319" s="18"/>
      <c r="I319" s="18"/>
      <c r="J319" s="18"/>
      <c r="K319" s="18"/>
      <c r="L319" s="19">
        <f t="shared" ref="L319:L325" si="16">SUM(F319:K319)</f>
        <v>36570.639999999999</v>
      </c>
      <c r="M319" s="8"/>
      <c r="N319" s="272"/>
    </row>
    <row r="320" spans="1:14" s="3" customFormat="1" ht="12.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46592.07</v>
      </c>
      <c r="G320" s="18">
        <v>7848.52</v>
      </c>
      <c r="H320" s="18">
        <v>4754.99</v>
      </c>
      <c r="I320" s="18">
        <v>286.60000000000002</v>
      </c>
      <c r="J320" s="18"/>
      <c r="K320" s="18"/>
      <c r="L320" s="19">
        <f t="shared" si="16"/>
        <v>59482.179999999993</v>
      </c>
      <c r="M320" s="8"/>
      <c r="N320" s="272"/>
    </row>
    <row r="321" spans="1:14" s="3" customFormat="1" ht="12.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5653.8</v>
      </c>
      <c r="L326" s="19">
        <f>SUM(F326:K326)</f>
        <v>5653.8</v>
      </c>
      <c r="M326" s="8"/>
      <c r="N326" s="272"/>
    </row>
    <row r="327" spans="1:14" s="3" customFormat="1" ht="12.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.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130390.73999999999</v>
      </c>
      <c r="G328" s="42">
        <f t="shared" si="17"/>
        <v>44324.3</v>
      </c>
      <c r="H328" s="42">
        <f t="shared" si="17"/>
        <v>10476.32</v>
      </c>
      <c r="I328" s="42">
        <f t="shared" si="17"/>
        <v>2183.8200000000002</v>
      </c>
      <c r="J328" s="42">
        <f t="shared" si="17"/>
        <v>22203.75</v>
      </c>
      <c r="K328" s="42">
        <f t="shared" si="17"/>
        <v>5653.8</v>
      </c>
      <c r="L328" s="41">
        <f t="shared" si="17"/>
        <v>215232.72999999998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.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480716.49</v>
      </c>
      <c r="G338" s="41">
        <f t="shared" si="20"/>
        <v>166061.35999999999</v>
      </c>
      <c r="H338" s="41">
        <f t="shared" si="20"/>
        <v>54299.519999999997</v>
      </c>
      <c r="I338" s="41">
        <f t="shared" si="20"/>
        <v>64737.640000000007</v>
      </c>
      <c r="J338" s="41">
        <f t="shared" si="20"/>
        <v>98952.8</v>
      </c>
      <c r="K338" s="41">
        <f t="shared" si="20"/>
        <v>20851.2</v>
      </c>
      <c r="L338" s="41">
        <f t="shared" si="20"/>
        <v>885619.01</v>
      </c>
      <c r="M338" s="8"/>
      <c r="N338" s="272"/>
    </row>
    <row r="339" spans="1:43" s="3" customFormat="1" ht="12.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.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.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480716.49</v>
      </c>
      <c r="G352" s="41">
        <f>G338</f>
        <v>166061.35999999999</v>
      </c>
      <c r="H352" s="41">
        <f>H338</f>
        <v>54299.519999999997</v>
      </c>
      <c r="I352" s="41">
        <f>I338</f>
        <v>64737.640000000007</v>
      </c>
      <c r="J352" s="41">
        <f>J338</f>
        <v>98952.8</v>
      </c>
      <c r="K352" s="47">
        <f>K338+K351</f>
        <v>20851.2</v>
      </c>
      <c r="L352" s="41">
        <f>L338+L351</f>
        <v>885619.01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.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.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.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268397.01</v>
      </c>
      <c r="I358" s="18">
        <v>19908.68</v>
      </c>
      <c r="J358" s="18">
        <v>4806</v>
      </c>
      <c r="K358" s="18">
        <v>165.5</v>
      </c>
      <c r="L358" s="13">
        <f>SUM(F358:K358)</f>
        <v>293277.19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v>147504.59</v>
      </c>
      <c r="I359" s="18">
        <v>10859.28</v>
      </c>
      <c r="J359" s="18">
        <v>1617.8</v>
      </c>
      <c r="K359" s="18">
        <v>49.4</v>
      </c>
      <c r="L359" s="19">
        <f>SUM(F359:K359)</f>
        <v>160031.06999999998</v>
      </c>
      <c r="M359" s="8"/>
      <c r="N359" s="272"/>
    </row>
    <row r="360" spans="1:22" s="3" customFormat="1" ht="12.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v>195449.98</v>
      </c>
      <c r="I360" s="18">
        <v>14479.04</v>
      </c>
      <c r="J360" s="18">
        <v>646.47</v>
      </c>
      <c r="K360" s="18">
        <v>60.66</v>
      </c>
      <c r="L360" s="19">
        <f>SUM(F360:K360)</f>
        <v>210636.15000000002</v>
      </c>
      <c r="M360" s="8"/>
      <c r="N360" s="272"/>
    </row>
    <row r="361" spans="1:22" s="3" customFormat="1" ht="12.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611351.57999999996</v>
      </c>
      <c r="I362" s="47">
        <f t="shared" si="22"/>
        <v>45247</v>
      </c>
      <c r="J362" s="47">
        <f t="shared" si="22"/>
        <v>7070.27</v>
      </c>
      <c r="K362" s="47">
        <f t="shared" si="22"/>
        <v>275.56</v>
      </c>
      <c r="L362" s="47">
        <f t="shared" si="22"/>
        <v>663944.41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.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277">
        <v>19908.68</v>
      </c>
      <c r="G367" s="278">
        <v>10859.28</v>
      </c>
      <c r="H367" s="277">
        <v>14479.04</v>
      </c>
      <c r="I367" s="56">
        <f>SUM(F367:H367)</f>
        <v>45247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.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.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19908.68</v>
      </c>
      <c r="G369" s="47">
        <f>SUM(G367:G368)</f>
        <v>10859.28</v>
      </c>
      <c r="H369" s="47">
        <f>SUM(H367:H368)</f>
        <v>14479.04</v>
      </c>
      <c r="I369" s="47">
        <f>SUM(I367:I368)</f>
        <v>45247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.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.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.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.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100000</v>
      </c>
      <c r="H396" s="18">
        <f>676.69+4719.56+403.55</f>
        <v>5799.8</v>
      </c>
      <c r="I396" s="18"/>
      <c r="J396" s="24" t="s">
        <v>289</v>
      </c>
      <c r="K396" s="24" t="s">
        <v>289</v>
      </c>
      <c r="L396" s="56">
        <f t="shared" si="26"/>
        <v>105799.8</v>
      </c>
      <c r="M396" s="8"/>
      <c r="N396" s="272"/>
    </row>
    <row r="397" spans="1:14" s="3" customFormat="1" ht="12.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f>1000.68+1549.56</f>
        <v>2550.2399999999998</v>
      </c>
      <c r="I397" s="18"/>
      <c r="J397" s="24" t="s">
        <v>289</v>
      </c>
      <c r="K397" s="24" t="s">
        <v>289</v>
      </c>
      <c r="L397" s="56">
        <f t="shared" si="26"/>
        <v>27550.239999999998</v>
      </c>
      <c r="M397" s="8"/>
      <c r="N397" s="272"/>
    </row>
    <row r="398" spans="1:14" s="3" customFormat="1" ht="12.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>
        <f>5000+1000+1230+10807+2000+21487.8+500+64.48+70.35+0.16</f>
        <v>42159.790000000008</v>
      </c>
      <c r="J400" s="24" t="s">
        <v>289</v>
      </c>
      <c r="K400" s="24" t="s">
        <v>289</v>
      </c>
      <c r="L400" s="56">
        <f t="shared" si="26"/>
        <v>42159.790000000008</v>
      </c>
      <c r="M400" s="8"/>
      <c r="N400" s="272"/>
    </row>
    <row r="401" spans="1:21" s="3" customFormat="1" ht="12.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125000</v>
      </c>
      <c r="H401" s="47">
        <f>SUM(H395:H400)</f>
        <v>8350.0400000000009</v>
      </c>
      <c r="I401" s="47">
        <f>SUM(I395:I400)</f>
        <v>42159.790000000008</v>
      </c>
      <c r="J401" s="45" t="s">
        <v>289</v>
      </c>
      <c r="K401" s="45" t="s">
        <v>289</v>
      </c>
      <c r="L401" s="47">
        <f>SUM(L395:L400)</f>
        <v>175509.83000000002</v>
      </c>
      <c r="M401" s="8"/>
      <c r="N401" s="272"/>
    </row>
    <row r="402" spans="1:21" s="3" customFormat="1" ht="12.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.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.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.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.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.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.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125000</v>
      </c>
      <c r="H408" s="47">
        <f>H393+H401+H407</f>
        <v>8350.0400000000009</v>
      </c>
      <c r="I408" s="47">
        <f>I393+I401+I407</f>
        <v>42159.790000000008</v>
      </c>
      <c r="J408" s="24" t="s">
        <v>289</v>
      </c>
      <c r="K408" s="24" t="s">
        <v>289</v>
      </c>
      <c r="L408" s="47">
        <f>L393+L401+L407</f>
        <v>175509.83000000002</v>
      </c>
      <c r="M408" s="8"/>
      <c r="N408" s="272"/>
    </row>
    <row r="409" spans="1:21" s="3" customFormat="1" ht="12.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.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.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.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.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.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.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.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.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.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.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.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.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.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117000</v>
      </c>
      <c r="L422" s="56">
        <f t="shared" si="29"/>
        <v>117000</v>
      </c>
      <c r="M422" s="8"/>
      <c r="N422" s="272"/>
    </row>
    <row r="423" spans="1:21" s="3" customFormat="1" ht="12.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.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.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.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43021.599999999999</v>
      </c>
      <c r="L426" s="56">
        <f t="shared" si="29"/>
        <v>43021.599999999999</v>
      </c>
      <c r="M426" s="8"/>
      <c r="N426" s="272"/>
    </row>
    <row r="427" spans="1:21" s="3" customFormat="1" ht="12.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160021.6</v>
      </c>
      <c r="L427" s="47">
        <f t="shared" si="30"/>
        <v>160021.6</v>
      </c>
      <c r="M427" s="8"/>
      <c r="N427" s="272"/>
    </row>
    <row r="428" spans="1:21" s="11" customFormat="1" ht="12.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.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.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.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.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160021.6</v>
      </c>
      <c r="L434" s="47">
        <f t="shared" si="32"/>
        <v>160021.6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.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.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1882225.23</v>
      </c>
      <c r="G440" s="18"/>
      <c r="H440" s="18"/>
      <c r="I440" s="56">
        <f t="shared" si="33"/>
        <v>1882225.23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.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2</v>
      </c>
      <c r="G441" s="18"/>
      <c r="H441" s="18"/>
      <c r="I441" s="56">
        <f t="shared" si="33"/>
        <v>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.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.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.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.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.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1882227.23</v>
      </c>
      <c r="G446" s="13">
        <f>SUM(G439:G445)</f>
        <v>0</v>
      </c>
      <c r="H446" s="13">
        <f>SUM(H439:H445)</f>
        <v>0</v>
      </c>
      <c r="I446" s="13">
        <f>SUM(I439:I445)</f>
        <v>1882227.23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.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.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.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.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.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.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.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.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f>1866739+15488.23</f>
        <v>1882227.23</v>
      </c>
      <c r="G459" s="18"/>
      <c r="H459" s="18"/>
      <c r="I459" s="56">
        <f t="shared" si="34"/>
        <v>1882227.23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1882227.23</v>
      </c>
      <c r="G460" s="83">
        <f>SUM(G454:G459)</f>
        <v>0</v>
      </c>
      <c r="H460" s="83">
        <f>SUM(H454:H459)</f>
        <v>0</v>
      </c>
      <c r="I460" s="83">
        <f>SUM(I454:I459)</f>
        <v>1882227.23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.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1882227.23</v>
      </c>
      <c r="G461" s="42">
        <f>G452+G460</f>
        <v>0</v>
      </c>
      <c r="H461" s="42">
        <f>H452+H460</f>
        <v>0</v>
      </c>
      <c r="I461" s="42">
        <f>I452+I460</f>
        <v>1882227.23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F51-F468+F472</f>
        <v>2558307.3900000006</v>
      </c>
      <c r="G465" s="18">
        <f>G51-G468+G472</f>
        <v>10041.180000000051</v>
      </c>
      <c r="H465" s="18">
        <f>H51-H468+H472</f>
        <v>-21115.909999999916</v>
      </c>
      <c r="I465" s="18">
        <f>I51-I468+I472</f>
        <v>104958.88</v>
      </c>
      <c r="J465" s="18">
        <f>J51-J468+J472</f>
        <v>1866739</v>
      </c>
      <c r="K465" s="24" t="s">
        <v>289</v>
      </c>
      <c r="L465" s="24" t="s">
        <v>289</v>
      </c>
      <c r="N465" s="271"/>
    </row>
    <row r="466" spans="1:14" s="52" customFormat="1" ht="12.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.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.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38256400.120000005</v>
      </c>
      <c r="G468" s="18">
        <f>G193</f>
        <v>663819.41</v>
      </c>
      <c r="H468" s="18">
        <f>H193</f>
        <v>932577.6</v>
      </c>
      <c r="I468" s="18">
        <f>I193</f>
        <v>464.15</v>
      </c>
      <c r="J468" s="18">
        <f>J193</f>
        <v>175509.83000000002</v>
      </c>
      <c r="K468" s="24" t="s">
        <v>289</v>
      </c>
      <c r="L468" s="24" t="s">
        <v>289</v>
      </c>
      <c r="N468" s="271"/>
    </row>
    <row r="469" spans="1:14" s="52" customFormat="1" ht="12.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.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38256400.120000005</v>
      </c>
      <c r="G470" s="53">
        <f>SUM(G468:G469)</f>
        <v>663819.41</v>
      </c>
      <c r="H470" s="53">
        <f>SUM(H468:H469)</f>
        <v>932577.6</v>
      </c>
      <c r="I470" s="53">
        <f>SUM(I468:I469)</f>
        <v>464.15</v>
      </c>
      <c r="J470" s="53">
        <f>SUM(J468:J469)</f>
        <v>175509.83000000002</v>
      </c>
      <c r="K470" s="24" t="s">
        <v>289</v>
      </c>
      <c r="L470" s="24" t="s">
        <v>289</v>
      </c>
      <c r="N470" s="271"/>
    </row>
    <row r="471" spans="1:14" s="52" customFormat="1" ht="12.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.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37804428.859999999</v>
      </c>
      <c r="G472" s="18">
        <f>L362</f>
        <v>663944.41</v>
      </c>
      <c r="H472" s="18">
        <f>L352</f>
        <v>885619.01</v>
      </c>
      <c r="I472" s="18">
        <f>L382</f>
        <v>0</v>
      </c>
      <c r="J472" s="18">
        <f>L434</f>
        <v>160021.6</v>
      </c>
      <c r="K472" s="24" t="s">
        <v>289</v>
      </c>
      <c r="L472" s="24" t="s">
        <v>289</v>
      </c>
      <c r="N472" s="271"/>
    </row>
    <row r="473" spans="1:14" s="52" customFormat="1" ht="12.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.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37804428.859999999</v>
      </c>
      <c r="G474" s="53">
        <f>SUM(G472:G473)</f>
        <v>663944.41</v>
      </c>
      <c r="H474" s="53">
        <f>SUM(H472:H473)</f>
        <v>885619.01</v>
      </c>
      <c r="I474" s="53">
        <f>SUM(I472:I473)</f>
        <v>0</v>
      </c>
      <c r="J474" s="53">
        <f>SUM(J472:J473)</f>
        <v>160021.6</v>
      </c>
      <c r="K474" s="24" t="s">
        <v>289</v>
      </c>
      <c r="L474" s="24" t="s">
        <v>289</v>
      </c>
      <c r="N474" s="271"/>
    </row>
    <row r="475" spans="1:14" s="52" customFormat="1" ht="12.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.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3010278.650000006</v>
      </c>
      <c r="G476" s="53">
        <f>(G465+G470)- G474</f>
        <v>9916.1800000000512</v>
      </c>
      <c r="H476" s="53">
        <f>(H465+H470)- H474</f>
        <v>25842.680000000051</v>
      </c>
      <c r="I476" s="53">
        <f>(I465+I470)- I474</f>
        <v>105423.03</v>
      </c>
      <c r="J476" s="53">
        <f>(J465+J470)- J474</f>
        <v>1882227.23</v>
      </c>
      <c r="K476" s="24" t="s">
        <v>289</v>
      </c>
      <c r="L476" s="24" t="s">
        <v>289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.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15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.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276" t="s">
        <v>913</v>
      </c>
      <c r="H491" s="276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.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275" t="s">
        <v>915</v>
      </c>
      <c r="H492" s="275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.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24450150</v>
      </c>
      <c r="G493" s="18">
        <v>2231283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.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4.6100000000000003</v>
      </c>
      <c r="G494" s="18">
        <v>4.375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.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11587267.380000001</v>
      </c>
      <c r="G495" s="18">
        <v>1636274.2</v>
      </c>
      <c r="H495" s="18"/>
      <c r="I495" s="18"/>
      <c r="J495" s="18"/>
      <c r="K495" s="53">
        <f>SUM(F495:J495)</f>
        <v>13223541.58</v>
      </c>
      <c r="L495" s="24" t="s">
        <v>289</v>
      </c>
      <c r="N495" s="271"/>
    </row>
    <row r="496" spans="1:14" s="52" customFormat="1" ht="12.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.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f>984901.61+245223.92</f>
        <v>1230125.53</v>
      </c>
      <c r="G497" s="18">
        <v>148752.20000000001</v>
      </c>
      <c r="H497" s="18"/>
      <c r="I497" s="18"/>
      <c r="J497" s="18"/>
      <c r="K497" s="53">
        <f t="shared" si="35"/>
        <v>1378877.73</v>
      </c>
      <c r="L497" s="24" t="s">
        <v>289</v>
      </c>
      <c r="N497" s="271"/>
    </row>
    <row r="498" spans="1:14" s="52" customFormat="1" ht="12.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10357141.850000001</v>
      </c>
      <c r="G498" s="204">
        <f>G495-G497</f>
        <v>1487522</v>
      </c>
      <c r="H498" s="204"/>
      <c r="I498" s="204"/>
      <c r="J498" s="204"/>
      <c r="K498" s="205">
        <f t="shared" si="35"/>
        <v>11844663.850000001</v>
      </c>
      <c r="L498" s="206" t="s">
        <v>289</v>
      </c>
      <c r="N498" s="271"/>
    </row>
    <row r="499" spans="1:14" s="52" customFormat="1" ht="12.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10449460.68</v>
      </c>
      <c r="G499" s="18">
        <f>325448.95</f>
        <v>325448.95</v>
      </c>
      <c r="H499" s="18"/>
      <c r="I499" s="18"/>
      <c r="J499" s="18"/>
      <c r="K499" s="53">
        <f t="shared" si="35"/>
        <v>10774909.629999999</v>
      </c>
      <c r="L499" s="24" t="s">
        <v>289</v>
      </c>
      <c r="N499" s="271"/>
    </row>
    <row r="500" spans="1:14" s="52" customFormat="1" ht="12.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20806602.530000001</v>
      </c>
      <c r="G500" s="42">
        <f>SUM(G498:G499)</f>
        <v>1812970.95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22619573.48</v>
      </c>
      <c r="L500" s="45" t="s">
        <v>289</v>
      </c>
      <c r="N500" s="271"/>
    </row>
    <row r="501" spans="1:14" s="52" customFormat="1" ht="12.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1173532.43</v>
      </c>
      <c r="G501" s="18">
        <v>148752.20000000001</v>
      </c>
      <c r="H501" s="204"/>
      <c r="I501" s="204"/>
      <c r="J501" s="204"/>
      <c r="K501" s="205">
        <f t="shared" si="35"/>
        <v>1322284.6299999999</v>
      </c>
      <c r="L501" s="206" t="s">
        <v>289</v>
      </c>
      <c r="N501" s="271"/>
    </row>
    <row r="502" spans="1:14" s="52" customFormat="1" ht="12.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715590.07</v>
      </c>
      <c r="G502" s="18">
        <f>32450.36+29526.29</f>
        <v>61976.65</v>
      </c>
      <c r="H502" s="18"/>
      <c r="I502" s="18"/>
      <c r="J502" s="18"/>
      <c r="K502" s="53">
        <f t="shared" si="35"/>
        <v>777566.71999999997</v>
      </c>
      <c r="L502" s="24" t="s">
        <v>289</v>
      </c>
      <c r="N502" s="271"/>
    </row>
    <row r="503" spans="1:14" s="52" customFormat="1" ht="12.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1889122.5</v>
      </c>
      <c r="G503" s="42">
        <f>SUM(G501:G502)</f>
        <v>210728.85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2099851.35</v>
      </c>
      <c r="L503" s="45" t="s">
        <v>289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.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.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.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.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.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.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.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.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.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F198-F567+71939.78</f>
        <v>1734300.35</v>
      </c>
      <c r="G521" s="18">
        <f>G198-G567+42005.67</f>
        <v>664294.49</v>
      </c>
      <c r="H521" s="18">
        <f t="shared" ref="H521" si="36">H198-H567</f>
        <v>182253.91</v>
      </c>
      <c r="I521" s="18">
        <f>I198-I567+3287.32</f>
        <v>32688.05</v>
      </c>
      <c r="J521" s="18">
        <v>30390.54</v>
      </c>
      <c r="K521" s="18">
        <f t="shared" ref="K521" si="37">K198</f>
        <v>0</v>
      </c>
      <c r="L521" s="88">
        <f>SUM(F521:K521)</f>
        <v>2643927.34</v>
      </c>
      <c r="N521" s="271"/>
    </row>
    <row r="522" spans="1:14" s="52" customFormat="1" ht="12.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F216-F568+39239.88</f>
        <v>841878.01</v>
      </c>
      <c r="G522" s="18">
        <f>G216-G568+19662.23</f>
        <v>307615.12999999995</v>
      </c>
      <c r="H522" s="18">
        <f t="shared" ref="H522" si="38">H216-H568</f>
        <v>329611.03999999998</v>
      </c>
      <c r="I522" s="18">
        <f>I216-I568+709.13</f>
        <v>11343.46</v>
      </c>
      <c r="J522" s="18">
        <f>J216</f>
        <v>0</v>
      </c>
      <c r="K522" s="18">
        <f t="shared" ref="K522" si="39">K216</f>
        <v>3635.17</v>
      </c>
      <c r="L522" s="88">
        <f>SUM(F522:K522)</f>
        <v>1494082.8099999998</v>
      </c>
      <c r="N522" s="271"/>
    </row>
    <row r="523" spans="1:14" s="52" customFormat="1" ht="12.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F234+52319.84</f>
        <v>834294.86</v>
      </c>
      <c r="G523" s="18">
        <f>G234+27705.86</f>
        <v>317068.62</v>
      </c>
      <c r="H523" s="18">
        <f t="shared" ref="H523:K523" si="40">H234</f>
        <v>1262328.43</v>
      </c>
      <c r="I523" s="18">
        <f>I234+999.22</f>
        <v>14307.31</v>
      </c>
      <c r="J523" s="18">
        <f>J234</f>
        <v>962.13</v>
      </c>
      <c r="K523" s="18">
        <f t="shared" si="40"/>
        <v>0</v>
      </c>
      <c r="L523" s="88">
        <f>SUM(F523:K523)</f>
        <v>2428961.35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3410473.22</v>
      </c>
      <c r="G524" s="108">
        <f t="shared" ref="G524:L524" si="41">SUM(G521:G523)</f>
        <v>1288978.2399999998</v>
      </c>
      <c r="H524" s="108">
        <f t="shared" si="41"/>
        <v>1774193.38</v>
      </c>
      <c r="I524" s="108">
        <f t="shared" si="41"/>
        <v>58338.819999999992</v>
      </c>
      <c r="J524" s="108">
        <f t="shared" si="41"/>
        <v>31352.670000000002</v>
      </c>
      <c r="K524" s="108">
        <f t="shared" si="41"/>
        <v>3635.17</v>
      </c>
      <c r="L524" s="89">
        <f t="shared" si="41"/>
        <v>6566971.5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.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43477.57</v>
      </c>
      <c r="G526" s="18">
        <v>12292.81</v>
      </c>
      <c r="H526" s="18">
        <v>11512.23</v>
      </c>
      <c r="I526" s="18">
        <v>584.52</v>
      </c>
      <c r="J526" s="18"/>
      <c r="K526" s="18"/>
      <c r="L526" s="88">
        <f>SUM(F526:K526)</f>
        <v>67867.13</v>
      </c>
      <c r="M526" s="8"/>
      <c r="N526" s="272"/>
    </row>
    <row r="527" spans="1:14" s="3" customFormat="1" ht="12.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20210.78</v>
      </c>
      <c r="G527" s="18">
        <v>5742.58</v>
      </c>
      <c r="H527" s="18">
        <v>3374.51</v>
      </c>
      <c r="I527" s="18">
        <v>203.39</v>
      </c>
      <c r="J527" s="18"/>
      <c r="K527" s="18"/>
      <c r="L527" s="88">
        <f>SUM(F527:K527)</f>
        <v>29531.260000000002</v>
      </c>
      <c r="M527" s="8"/>
      <c r="N527" s="272"/>
    </row>
    <row r="528" spans="1:14" s="3" customFormat="1" ht="12.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28478.83</v>
      </c>
      <c r="G528" s="18">
        <v>8091.81</v>
      </c>
      <c r="H528" s="18">
        <v>4754.99</v>
      </c>
      <c r="I528" s="18">
        <v>286.60000000000002</v>
      </c>
      <c r="J528" s="18"/>
      <c r="K528" s="18"/>
      <c r="L528" s="88">
        <f>SUM(F528:K528)</f>
        <v>41612.229999999996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92167.18</v>
      </c>
      <c r="G529" s="89">
        <f t="shared" ref="G529:L529" si="42">SUM(G526:G528)</f>
        <v>26127.200000000001</v>
      </c>
      <c r="H529" s="89">
        <f t="shared" si="42"/>
        <v>19641.73</v>
      </c>
      <c r="I529" s="89">
        <f t="shared" si="42"/>
        <v>1074.51</v>
      </c>
      <c r="J529" s="89">
        <f t="shared" si="42"/>
        <v>0</v>
      </c>
      <c r="K529" s="89">
        <f t="shared" si="42"/>
        <v>0</v>
      </c>
      <c r="L529" s="89">
        <f t="shared" si="42"/>
        <v>139010.62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.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148310.39000000001</v>
      </c>
      <c r="G531" s="18">
        <v>151412.84</v>
      </c>
      <c r="H531" s="18"/>
      <c r="I531" s="18"/>
      <c r="J531" s="18"/>
      <c r="K531" s="18"/>
      <c r="L531" s="88">
        <f>SUM(F531:K531)</f>
        <v>299723.23</v>
      </c>
      <c r="M531" s="8"/>
      <c r="N531" s="272"/>
    </row>
    <row r="532" spans="1:14" s="3" customFormat="1" ht="12.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81965.759999999995</v>
      </c>
      <c r="G532" s="18">
        <v>83461.33</v>
      </c>
      <c r="H532" s="18"/>
      <c r="I532" s="18"/>
      <c r="J532" s="18"/>
      <c r="K532" s="18"/>
      <c r="L532" s="88">
        <f>SUM(F532:K532)</f>
        <v>165427.09</v>
      </c>
      <c r="M532" s="8"/>
      <c r="N532" s="272"/>
    </row>
    <row r="533" spans="1:14" s="3" customFormat="1" ht="12.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86858.51</v>
      </c>
      <c r="G533" s="18">
        <v>88526.47</v>
      </c>
      <c r="H533" s="18"/>
      <c r="I533" s="18"/>
      <c r="J533" s="18"/>
      <c r="K533" s="18"/>
      <c r="L533" s="88">
        <f>SUM(F533:K533)</f>
        <v>175384.97999999998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317134.66000000003</v>
      </c>
      <c r="G534" s="89">
        <f t="shared" ref="G534:L534" si="43">SUM(G531:G533)</f>
        <v>323400.64</v>
      </c>
      <c r="H534" s="89">
        <f t="shared" si="43"/>
        <v>0</v>
      </c>
      <c r="I534" s="89">
        <f t="shared" si="43"/>
        <v>0</v>
      </c>
      <c r="J534" s="89">
        <f t="shared" si="43"/>
        <v>0</v>
      </c>
      <c r="K534" s="89">
        <f t="shared" si="43"/>
        <v>0</v>
      </c>
      <c r="L534" s="89">
        <f t="shared" si="43"/>
        <v>640535.29999999993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.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4">SUM(G536:G538)</f>
        <v>0</v>
      </c>
      <c r="H539" s="89">
        <f t="shared" si="44"/>
        <v>0</v>
      </c>
      <c r="I539" s="89">
        <f t="shared" si="44"/>
        <v>0</v>
      </c>
      <c r="J539" s="89">
        <f t="shared" si="44"/>
        <v>0</v>
      </c>
      <c r="K539" s="89">
        <f t="shared" si="44"/>
        <v>0</v>
      </c>
      <c r="L539" s="89">
        <f t="shared" si="44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.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H592</f>
        <v>76538.009999999995</v>
      </c>
      <c r="I541" s="18"/>
      <c r="J541" s="18"/>
      <c r="K541" s="18"/>
      <c r="L541" s="88">
        <f>SUM(F541:K541)</f>
        <v>76538.009999999995</v>
      </c>
      <c r="M541" s="8"/>
      <c r="N541" s="272"/>
    </row>
    <row r="542" spans="1:14" s="3" customFormat="1" ht="12.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I592</f>
        <v>41748.01</v>
      </c>
      <c r="I542" s="18"/>
      <c r="J542" s="18"/>
      <c r="K542" s="18"/>
      <c r="L542" s="88">
        <f>SUM(F542:K542)</f>
        <v>41748.01</v>
      </c>
      <c r="M542" s="8"/>
      <c r="N542" s="272"/>
    </row>
    <row r="543" spans="1:14" s="3" customFormat="1" ht="12.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J592</f>
        <v>55664.01</v>
      </c>
      <c r="I543" s="18"/>
      <c r="J543" s="18"/>
      <c r="K543" s="18"/>
      <c r="L543" s="88">
        <f>SUM(F543:K543)</f>
        <v>55664.01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5">SUM(G541:G543)</f>
        <v>0</v>
      </c>
      <c r="H544" s="193">
        <f t="shared" si="45"/>
        <v>173950.03</v>
      </c>
      <c r="I544" s="193">
        <f t="shared" si="45"/>
        <v>0</v>
      </c>
      <c r="J544" s="193">
        <f t="shared" si="45"/>
        <v>0</v>
      </c>
      <c r="K544" s="193">
        <f t="shared" si="45"/>
        <v>0</v>
      </c>
      <c r="L544" s="193">
        <f t="shared" si="45"/>
        <v>173950.03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3819775.0600000005</v>
      </c>
      <c r="G545" s="89">
        <f t="shared" ref="G545:L545" si="46">G524+G529+G534+G539+G544</f>
        <v>1638506.0799999996</v>
      </c>
      <c r="H545" s="89">
        <f t="shared" si="46"/>
        <v>1967785.14</v>
      </c>
      <c r="I545" s="89">
        <f t="shared" si="46"/>
        <v>59413.329999999994</v>
      </c>
      <c r="J545" s="89">
        <f t="shared" si="46"/>
        <v>31352.670000000002</v>
      </c>
      <c r="K545" s="89">
        <f t="shared" si="46"/>
        <v>3635.17</v>
      </c>
      <c r="L545" s="89">
        <f t="shared" si="46"/>
        <v>7520467.4500000002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.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2643927.34</v>
      </c>
      <c r="G549" s="87">
        <f>L526</f>
        <v>67867.13</v>
      </c>
      <c r="H549" s="87">
        <f>L531</f>
        <v>299723.23</v>
      </c>
      <c r="I549" s="87">
        <f>L536</f>
        <v>0</v>
      </c>
      <c r="J549" s="87">
        <f>L541</f>
        <v>76538.009999999995</v>
      </c>
      <c r="K549" s="87">
        <f>SUM(F549:J549)</f>
        <v>3088055.7099999995</v>
      </c>
      <c r="L549" s="24" t="s">
        <v>289</v>
      </c>
      <c r="M549" s="8"/>
      <c r="N549" s="272"/>
    </row>
    <row r="550" spans="1:14" s="3" customFormat="1" ht="12.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1494082.8099999998</v>
      </c>
      <c r="G550" s="87">
        <f>L527</f>
        <v>29531.260000000002</v>
      </c>
      <c r="H550" s="87">
        <f>L532</f>
        <v>165427.09</v>
      </c>
      <c r="I550" s="87">
        <f>L537</f>
        <v>0</v>
      </c>
      <c r="J550" s="87">
        <f>L542</f>
        <v>41748.01</v>
      </c>
      <c r="K550" s="87">
        <f>SUM(F550:J550)</f>
        <v>1730789.17</v>
      </c>
      <c r="L550" s="24" t="s">
        <v>289</v>
      </c>
      <c r="M550" s="8"/>
      <c r="N550" s="272"/>
    </row>
    <row r="551" spans="1:14" s="3" customFormat="1" ht="12.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2428961.35</v>
      </c>
      <c r="G551" s="87">
        <f>L528</f>
        <v>41612.229999999996</v>
      </c>
      <c r="H551" s="87">
        <f>L533</f>
        <v>175384.97999999998</v>
      </c>
      <c r="I551" s="87">
        <f>L538</f>
        <v>0</v>
      </c>
      <c r="J551" s="87">
        <f>L543</f>
        <v>55664.01</v>
      </c>
      <c r="K551" s="87">
        <f>SUM(F551:J551)</f>
        <v>2701622.57</v>
      </c>
      <c r="L551" s="24" t="s">
        <v>289</v>
      </c>
      <c r="M551" s="8"/>
      <c r="N551" s="272"/>
    </row>
    <row r="552" spans="1:14" s="3" customFormat="1" ht="12.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7">SUM(F549:F551)</f>
        <v>6566971.5</v>
      </c>
      <c r="G552" s="89">
        <f t="shared" si="47"/>
        <v>139010.62</v>
      </c>
      <c r="H552" s="89">
        <f t="shared" si="47"/>
        <v>640535.29999999993</v>
      </c>
      <c r="I552" s="89">
        <f t="shared" si="47"/>
        <v>0</v>
      </c>
      <c r="J552" s="89">
        <f t="shared" si="47"/>
        <v>173950.03</v>
      </c>
      <c r="K552" s="89">
        <f t="shared" si="47"/>
        <v>7520467.4499999993</v>
      </c>
      <c r="L552" s="24"/>
      <c r="M552" s="8"/>
      <c r="N552" s="272"/>
    </row>
    <row r="553" spans="1:14" s="3" customFormat="1" ht="12.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.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8">SUM(F557:F559)</f>
        <v>0</v>
      </c>
      <c r="G560" s="108">
        <f t="shared" si="48"/>
        <v>0</v>
      </c>
      <c r="H560" s="108">
        <f t="shared" si="48"/>
        <v>0</v>
      </c>
      <c r="I560" s="108">
        <f t="shared" si="48"/>
        <v>0</v>
      </c>
      <c r="J560" s="108">
        <f t="shared" si="48"/>
        <v>0</v>
      </c>
      <c r="K560" s="108">
        <f t="shared" si="48"/>
        <v>0</v>
      </c>
      <c r="L560" s="89">
        <f t="shared" si="48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.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9">SUM(F562:F564)</f>
        <v>0</v>
      </c>
      <c r="G565" s="89">
        <f t="shared" si="49"/>
        <v>0</v>
      </c>
      <c r="H565" s="89">
        <f t="shared" si="49"/>
        <v>0</v>
      </c>
      <c r="I565" s="89">
        <f t="shared" si="49"/>
        <v>0</v>
      </c>
      <c r="J565" s="89">
        <f t="shared" si="49"/>
        <v>0</v>
      </c>
      <c r="K565" s="89">
        <f t="shared" si="49"/>
        <v>0</v>
      </c>
      <c r="L565" s="89">
        <f t="shared" si="49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.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51737.49</v>
      </c>
      <c r="G567" s="18">
        <v>15060.5</v>
      </c>
      <c r="H567" s="18">
        <v>3046.5</v>
      </c>
      <c r="I567" s="18">
        <v>5878.69</v>
      </c>
      <c r="J567" s="18"/>
      <c r="K567" s="18"/>
      <c r="L567" s="88">
        <f>SUM(F567:K567)</f>
        <v>75723.179999999993</v>
      </c>
      <c r="M567" s="8"/>
      <c r="N567" s="272"/>
    </row>
    <row r="568" spans="1:14" s="3" customFormat="1" ht="12.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5748.61</v>
      </c>
      <c r="G568" s="18">
        <v>1673.39</v>
      </c>
      <c r="H568" s="18">
        <v>338.5</v>
      </c>
      <c r="I568" s="18">
        <v>653.19000000000005</v>
      </c>
      <c r="J568" s="18"/>
      <c r="K568" s="18"/>
      <c r="L568" s="88">
        <f>SUM(F568:K568)</f>
        <v>8413.69</v>
      </c>
      <c r="M568" s="8"/>
      <c r="N568" s="272"/>
    </row>
    <row r="569" spans="1:14" s="3" customFormat="1" ht="12.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57486.1</v>
      </c>
      <c r="G570" s="193">
        <f t="shared" ref="G570:L570" si="50">SUM(G567:G569)</f>
        <v>16733.89</v>
      </c>
      <c r="H570" s="193">
        <f t="shared" si="50"/>
        <v>3385</v>
      </c>
      <c r="I570" s="193">
        <f t="shared" si="50"/>
        <v>6531.8799999999992</v>
      </c>
      <c r="J570" s="193">
        <f t="shared" si="50"/>
        <v>0</v>
      </c>
      <c r="K570" s="193">
        <f t="shared" si="50"/>
        <v>0</v>
      </c>
      <c r="L570" s="193">
        <f t="shared" si="50"/>
        <v>84136.87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57486.1</v>
      </c>
      <c r="G571" s="89">
        <f t="shared" ref="G571:L571" si="51">G560+G565+G570</f>
        <v>16733.89</v>
      </c>
      <c r="H571" s="89">
        <f t="shared" si="51"/>
        <v>3385</v>
      </c>
      <c r="I571" s="89">
        <f t="shared" si="51"/>
        <v>6531.8799999999992</v>
      </c>
      <c r="J571" s="89">
        <f t="shared" si="51"/>
        <v>0</v>
      </c>
      <c r="K571" s="89">
        <f t="shared" si="51"/>
        <v>0</v>
      </c>
      <c r="L571" s="89">
        <f t="shared" si="51"/>
        <v>84136.87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.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.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52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.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52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.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52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.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52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.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52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.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52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.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53296.65</v>
      </c>
      <c r="G582" s="18">
        <v>259583.85</v>
      </c>
      <c r="H582" s="18">
        <v>1168507.51</v>
      </c>
      <c r="I582" s="87">
        <f t="shared" si="52"/>
        <v>1481388.01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.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52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.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424.74+78583.19</f>
        <v>79007.930000000008</v>
      </c>
      <c r="I584" s="87">
        <f t="shared" si="52"/>
        <v>79007.930000000008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.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52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.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52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.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52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.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956331.28</v>
      </c>
      <c r="I591" s="18">
        <v>438429.77</v>
      </c>
      <c r="J591" s="18">
        <v>571303.49</v>
      </c>
      <c r="K591" s="104">
        <f t="shared" ref="K591:K597" si="53">SUM(H591:J591)</f>
        <v>1966064.54</v>
      </c>
      <c r="L591" s="24" t="s">
        <v>289</v>
      </c>
      <c r="M591" s="8"/>
      <c r="N591" s="272"/>
    </row>
    <row r="592" spans="1:14" s="3" customFormat="1" ht="12.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76538.009999999995</v>
      </c>
      <c r="I592" s="18">
        <v>41748.01</v>
      </c>
      <c r="J592" s="18">
        <v>55664.01</v>
      </c>
      <c r="K592" s="104">
        <f t="shared" si="53"/>
        <v>173950.03</v>
      </c>
      <c r="L592" s="24" t="s">
        <v>289</v>
      </c>
      <c r="M592" s="8"/>
      <c r="N592" s="272"/>
    </row>
    <row r="593" spans="1:14" s="3" customFormat="1" ht="12.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45421.89</v>
      </c>
      <c r="K593" s="104">
        <f t="shared" si="53"/>
        <v>45421.89</v>
      </c>
      <c r="L593" s="24" t="s">
        <v>289</v>
      </c>
      <c r="M593" s="8"/>
      <c r="N593" s="272"/>
    </row>
    <row r="594" spans="1:14" s="3" customFormat="1" ht="12.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6272.52</v>
      </c>
      <c r="J594" s="18">
        <v>46735.71</v>
      </c>
      <c r="K594" s="104">
        <f t="shared" si="53"/>
        <v>53008.229999999996</v>
      </c>
      <c r="L594" s="24" t="s">
        <v>289</v>
      </c>
      <c r="M594" s="8"/>
      <c r="N594" s="272"/>
    </row>
    <row r="595" spans="1:14" s="3" customFormat="1" ht="12.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29499.26</v>
      </c>
      <c r="I595" s="18">
        <v>14869.82</v>
      </c>
      <c r="J595" s="18">
        <v>16290.93</v>
      </c>
      <c r="K595" s="104">
        <f t="shared" si="53"/>
        <v>60660.01</v>
      </c>
      <c r="L595" s="24" t="s">
        <v>289</v>
      </c>
      <c r="M595" s="8"/>
      <c r="N595" s="272"/>
    </row>
    <row r="596" spans="1:14" s="3" customFormat="1" ht="12.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3"/>
        <v>0</v>
      </c>
      <c r="L596" s="24" t="s">
        <v>289</v>
      </c>
      <c r="M596" s="8"/>
      <c r="N596" s="272"/>
    </row>
    <row r="597" spans="1:14" s="3" customFormat="1" ht="12.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3"/>
        <v>0</v>
      </c>
      <c r="L597" s="24" t="s">
        <v>289</v>
      </c>
      <c r="M597" s="8"/>
      <c r="N597" s="272"/>
    </row>
    <row r="598" spans="1:14" s="3" customFormat="1" ht="12.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1062368.55</v>
      </c>
      <c r="I598" s="108">
        <f>SUM(I591:I597)</f>
        <v>501320.12000000005</v>
      </c>
      <c r="J598" s="108">
        <f>SUM(J591:J597)</f>
        <v>735416.03</v>
      </c>
      <c r="K598" s="108">
        <f>SUM(K591:K597)</f>
        <v>2299104.6999999997</v>
      </c>
      <c r="L598" s="24" t="s">
        <v>289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.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.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J211+J290</f>
        <v>177716</v>
      </c>
      <c r="I604" s="18">
        <f>J229+J309</f>
        <v>78113.12999999999</v>
      </c>
      <c r="J604" s="18">
        <f>J247+J328</f>
        <v>200563.28</v>
      </c>
      <c r="K604" s="104">
        <f>SUM(H604:J604)</f>
        <v>456392.41000000003</v>
      </c>
      <c r="L604" s="24" t="s">
        <v>289</v>
      </c>
      <c r="M604" s="8"/>
      <c r="N604" s="272"/>
    </row>
    <row r="605" spans="1:14" s="3" customFormat="1" ht="12.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177716</v>
      </c>
      <c r="I605" s="108">
        <f>SUM(I602:I604)</f>
        <v>78113.12999999999</v>
      </c>
      <c r="J605" s="108">
        <f>SUM(J602:J604)</f>
        <v>200563.28</v>
      </c>
      <c r="K605" s="108">
        <f>SUM(K602:K604)</f>
        <v>456392.41000000003</v>
      </c>
      <c r="L605" s="24" t="s">
        <v>289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22989.5</v>
      </c>
      <c r="G611" s="18">
        <v>3025.59</v>
      </c>
      <c r="H611" s="18">
        <v>41552.76</v>
      </c>
      <c r="I611" s="18">
        <v>1137.81</v>
      </c>
      <c r="J611" s="18"/>
      <c r="K611" s="18"/>
      <c r="L611" s="88">
        <f>SUM(F611:K611)</f>
        <v>68705.66</v>
      </c>
      <c r="M611" s="8"/>
      <c r="N611" s="272"/>
    </row>
    <row r="612" spans="1:14" s="3" customFormat="1" ht="12.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28808.85</v>
      </c>
      <c r="G612" s="18">
        <v>4440.43</v>
      </c>
      <c r="H612" s="18">
        <v>22665.14</v>
      </c>
      <c r="I612" s="18">
        <v>300.32</v>
      </c>
      <c r="J612" s="18"/>
      <c r="K612" s="18"/>
      <c r="L612" s="88">
        <f>SUM(F612:K612)</f>
        <v>56214.74</v>
      </c>
      <c r="M612" s="8"/>
      <c r="N612" s="272"/>
    </row>
    <row r="613" spans="1:14" s="3" customFormat="1" ht="12.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39783.65</v>
      </c>
      <c r="G613" s="18">
        <v>6134.31</v>
      </c>
      <c r="H613" s="18">
        <v>30220.19</v>
      </c>
      <c r="I613" s="18"/>
      <c r="J613" s="18"/>
      <c r="K613" s="18"/>
      <c r="L613" s="88">
        <f>SUM(F613:K613)</f>
        <v>76138.149999999994</v>
      </c>
      <c r="M613" s="8"/>
      <c r="N613" s="272"/>
    </row>
    <row r="614" spans="1:14" s="3" customFormat="1" ht="12.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4">SUM(F611:F613)</f>
        <v>91582</v>
      </c>
      <c r="G614" s="108">
        <f t="shared" si="54"/>
        <v>13600.330000000002</v>
      </c>
      <c r="H614" s="108">
        <f t="shared" si="54"/>
        <v>94438.09</v>
      </c>
      <c r="I614" s="108">
        <f t="shared" si="54"/>
        <v>1438.1299999999999</v>
      </c>
      <c r="J614" s="108">
        <f t="shared" si="54"/>
        <v>0</v>
      </c>
      <c r="K614" s="108">
        <f t="shared" si="54"/>
        <v>0</v>
      </c>
      <c r="L614" s="89">
        <f t="shared" si="54"/>
        <v>201058.55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6307299.7199999997</v>
      </c>
      <c r="H617" s="109">
        <f>SUM(F52)</f>
        <v>6307299.7200000063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552650.64</v>
      </c>
      <c r="H618" s="109">
        <f>SUM(G52)</f>
        <v>552650.64000000013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680968.32000000007</v>
      </c>
      <c r="H619" s="109">
        <f>SUM(H52)</f>
        <v>680968.32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151155.03</v>
      </c>
      <c r="H620" s="109">
        <f>SUM(I52)</f>
        <v>151155.03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1882227.23</v>
      </c>
      <c r="H621" s="109">
        <f>SUM(J52)</f>
        <v>1882227.23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3010278.6500000055</v>
      </c>
      <c r="H622" s="109">
        <f>F476</f>
        <v>3010278.650000006</v>
      </c>
      <c r="I622" s="121" t="s">
        <v>101</v>
      </c>
      <c r="J622" s="109">
        <f t="shared" ref="J622:J655" si="55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9916.18</v>
      </c>
      <c r="H623" s="109">
        <f>G476</f>
        <v>9916.1800000000512</v>
      </c>
      <c r="I623" s="121" t="s">
        <v>102</v>
      </c>
      <c r="J623" s="109">
        <f t="shared" si="55"/>
        <v>-5.0931703299283981E-11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25842.68</v>
      </c>
      <c r="H624" s="109">
        <f>H476</f>
        <v>25842.680000000051</v>
      </c>
      <c r="I624" s="121" t="s">
        <v>103</v>
      </c>
      <c r="J624" s="109">
        <f t="shared" si="55"/>
        <v>-5.0931703299283981E-11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105423.03</v>
      </c>
      <c r="H625" s="109">
        <f>I476</f>
        <v>105423.03</v>
      </c>
      <c r="I625" s="121" t="s">
        <v>104</v>
      </c>
      <c r="J625" s="109">
        <f t="shared" si="55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1882227.23</v>
      </c>
      <c r="H626" s="109">
        <f>J476</f>
        <v>1882227.23</v>
      </c>
      <c r="I626" s="140" t="s">
        <v>105</v>
      </c>
      <c r="J626" s="109">
        <f t="shared" si="55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38256400.120000005</v>
      </c>
      <c r="H627" s="104">
        <f>SUM(F468)</f>
        <v>38256400.120000005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663819.41</v>
      </c>
      <c r="H628" s="104">
        <f>SUM(G468)</f>
        <v>663819.41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932577.6</v>
      </c>
      <c r="H629" s="104">
        <f>SUM(H468)</f>
        <v>932577.6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464.15</v>
      </c>
      <c r="H630" s="104">
        <f>SUM(I468)</f>
        <v>464.15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175509.83000000002</v>
      </c>
      <c r="H631" s="104">
        <f>SUM(J468)</f>
        <v>175509.83000000002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37804428.859999999</v>
      </c>
      <c r="H632" s="104">
        <f>SUM(F472)</f>
        <v>37804428.859999999</v>
      </c>
      <c r="I632" s="140" t="s">
        <v>111</v>
      </c>
      <c r="J632" s="109">
        <f t="shared" si="55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885619.01</v>
      </c>
      <c r="H633" s="104">
        <f>SUM(H472)</f>
        <v>885619.01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45247</v>
      </c>
      <c r="H634" s="104">
        <f>I369</f>
        <v>45247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663944.41</v>
      </c>
      <c r="H635" s="104">
        <f>SUM(G472)</f>
        <v>663944.41</v>
      </c>
      <c r="I635" s="140" t="s">
        <v>114</v>
      </c>
      <c r="J635" s="109">
        <f t="shared" si="55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5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175509.83000000002</v>
      </c>
      <c r="H637" s="164">
        <f>SUM(J468)</f>
        <v>175509.83000000002</v>
      </c>
      <c r="I637" s="165" t="s">
        <v>110</v>
      </c>
      <c r="J637" s="151">
        <f t="shared" si="55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160021.6</v>
      </c>
      <c r="H638" s="164">
        <f>SUM(J472)</f>
        <v>160021.6</v>
      </c>
      <c r="I638" s="165" t="s">
        <v>117</v>
      </c>
      <c r="J638" s="151">
        <f t="shared" si="55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1882227.23</v>
      </c>
      <c r="H639" s="104">
        <f>SUM(F461)</f>
        <v>1882227.23</v>
      </c>
      <c r="I639" s="140" t="s">
        <v>857</v>
      </c>
      <c r="J639" s="109">
        <f t="shared" si="55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5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5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1882227.23</v>
      </c>
      <c r="H642" s="104">
        <f>SUM(I461)</f>
        <v>1882227.23</v>
      </c>
      <c r="I642" s="140" t="s">
        <v>860</v>
      </c>
      <c r="J642" s="109">
        <f t="shared" si="55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5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8350.0400000000009</v>
      </c>
      <c r="H644" s="104">
        <f>H408</f>
        <v>8350.0400000000009</v>
      </c>
      <c r="I644" s="140" t="s">
        <v>481</v>
      </c>
      <c r="J644" s="109">
        <f t="shared" si="55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125000</v>
      </c>
      <c r="H645" s="104">
        <f>G408</f>
        <v>125000</v>
      </c>
      <c r="I645" s="140" t="s">
        <v>482</v>
      </c>
      <c r="J645" s="109">
        <f t="shared" si="55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175509.83000000002</v>
      </c>
      <c r="H646" s="104">
        <f>L408</f>
        <v>175509.83000000002</v>
      </c>
      <c r="I646" s="140" t="s">
        <v>478</v>
      </c>
      <c r="J646" s="109">
        <f t="shared" si="55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2299104.6999999997</v>
      </c>
      <c r="H647" s="104">
        <f>L208+L226+L244</f>
        <v>2299104.7000000002</v>
      </c>
      <c r="I647" s="140" t="s">
        <v>397</v>
      </c>
      <c r="J647" s="109">
        <f t="shared" si="55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456392.41000000003</v>
      </c>
      <c r="H648" s="104">
        <f>(J257+J338)-(J255+J336)</f>
        <v>456392.41</v>
      </c>
      <c r="I648" s="140" t="s">
        <v>703</v>
      </c>
      <c r="J648" s="109">
        <f t="shared" si="55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1062368.55</v>
      </c>
      <c r="H649" s="104">
        <f>H598</f>
        <v>1062368.55</v>
      </c>
      <c r="I649" s="140" t="s">
        <v>389</v>
      </c>
      <c r="J649" s="109">
        <f t="shared" si="55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501320.12</v>
      </c>
      <c r="H650" s="104">
        <f>I598</f>
        <v>501320.12000000005</v>
      </c>
      <c r="I650" s="140" t="s">
        <v>390</v>
      </c>
      <c r="J650" s="109">
        <f t="shared" si="55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735416.03</v>
      </c>
      <c r="H651" s="104">
        <f>J598</f>
        <v>735416.03</v>
      </c>
      <c r="I651" s="140" t="s">
        <v>391</v>
      </c>
      <c r="J651" s="109">
        <f t="shared" si="55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20504.11</v>
      </c>
      <c r="H652" s="104">
        <f>K263+K345</f>
        <v>20504.11</v>
      </c>
      <c r="I652" s="140" t="s">
        <v>398</v>
      </c>
      <c r="J652" s="109">
        <f t="shared" si="55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5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5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125000</v>
      </c>
      <c r="H655" s="104">
        <f>K266+K347</f>
        <v>125000</v>
      </c>
      <c r="I655" s="140" t="s">
        <v>401</v>
      </c>
      <c r="J655" s="109">
        <f t="shared" si="55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14423642.98</v>
      </c>
      <c r="G660" s="19">
        <f>(L229+L309+L359)</f>
        <v>9761106.3599999994</v>
      </c>
      <c r="H660" s="19">
        <f>(L247+L328+L360)</f>
        <v>12898637.24</v>
      </c>
      <c r="I660" s="19">
        <f>SUM(F660:H660)</f>
        <v>37083386.579999998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184501.45397534742</v>
      </c>
      <c r="G661" s="19">
        <f>(L359/IF(SUM(L358:L360)=0,1,SUM(L358:L360))*(SUM(G97:G110)))</f>
        <v>100675.96834322708</v>
      </c>
      <c r="H661" s="19">
        <f>(L360/IF(SUM(L358:L360)=0,1,SUM(L358:L360))*(SUM(G97:G110)))</f>
        <v>132511.75768142546</v>
      </c>
      <c r="I661" s="19">
        <f>SUM(F661:H661)</f>
        <v>417689.17999999993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1062368.55</v>
      </c>
      <c r="G662" s="19">
        <f>(L226+L306)-(J226+J306)</f>
        <v>501320.12</v>
      </c>
      <c r="H662" s="19">
        <f>(L244+L325)-(J244+J325)</f>
        <v>735416.03</v>
      </c>
      <c r="I662" s="19">
        <f>SUM(F662:H662)</f>
        <v>2299104.7000000002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299718.31</v>
      </c>
      <c r="G663" s="199">
        <f>SUM(G575:G587)+SUM(I602:I604)+L612</f>
        <v>393911.72</v>
      </c>
      <c r="H663" s="199">
        <f>SUM(H575:H587)+SUM(J602:J604)+L613</f>
        <v>1524216.8699999999</v>
      </c>
      <c r="I663" s="19">
        <f>SUM(F663:H663)</f>
        <v>2217846.9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12877054.666024653</v>
      </c>
      <c r="G664" s="19">
        <f>G660-SUM(G661:G663)</f>
        <v>8765198.5516567715</v>
      </c>
      <c r="H664" s="19">
        <f>H660-SUM(H661:H663)</f>
        <v>10506492.582318574</v>
      </c>
      <c r="I664" s="19">
        <f>I660-SUM(I661:I663)</f>
        <v>32148745.799999997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f>15.3+341.99+190.48+155.62+103.18</f>
        <v>806.56999999999994</v>
      </c>
      <c r="G665" s="248">
        <v>422.84</v>
      </c>
      <c r="H665" s="248">
        <v>559.85</v>
      </c>
      <c r="I665" s="19">
        <f>SUM(F665:H665)</f>
        <v>1789.2599999999998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15965.2</v>
      </c>
      <c r="G667" s="19">
        <f>ROUND(G664/G665,2)</f>
        <v>20729.349999999999</v>
      </c>
      <c r="H667" s="19">
        <f>ROUND(H664/H665,2)</f>
        <v>18766.62</v>
      </c>
      <c r="I667" s="19">
        <f>ROUND(I664/I665,2)</f>
        <v>17967.62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-13.22</v>
      </c>
      <c r="I670" s="19">
        <f>SUM(F670:H670)</f>
        <v>-13.22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15965.2</v>
      </c>
      <c r="G672" s="19">
        <f>ROUND((G664+G669)/(G665+G670),2)</f>
        <v>20729.349999999999</v>
      </c>
      <c r="H672" s="19">
        <f>ROUND((H664+H669)/(H665+H670),2)</f>
        <v>19220.48</v>
      </c>
      <c r="I672" s="19">
        <f>ROUND((I664+I669)/(I665+I670),2)</f>
        <v>18101.36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13"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Kearsarge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4" t="s">
        <v>784</v>
      </c>
      <c r="B3" s="284"/>
      <c r="C3" s="284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83" t="s">
        <v>783</v>
      </c>
      <c r="C6" s="283"/>
    </row>
    <row r="7" spans="1:3" x14ac:dyDescent="0.2">
      <c r="A7" s="239" t="s">
        <v>786</v>
      </c>
      <c r="B7" s="281" t="s">
        <v>782</v>
      </c>
      <c r="C7" s="282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10162917.6</v>
      </c>
      <c r="C9" s="229">
        <f>'DOE25'!G197+'DOE25'!G215+'DOE25'!G233+'DOE25'!G276+'DOE25'!G295+'DOE25'!G314</f>
        <v>5026491.12</v>
      </c>
    </row>
    <row r="10" spans="1:3" x14ac:dyDescent="0.2">
      <c r="A10" t="s">
        <v>779</v>
      </c>
      <c r="B10" s="240">
        <v>9604867.3000000007</v>
      </c>
      <c r="C10" s="240">
        <v>4859001.29</v>
      </c>
    </row>
    <row r="11" spans="1:3" x14ac:dyDescent="0.2">
      <c r="A11" t="s">
        <v>780</v>
      </c>
      <c r="B11" s="240">
        <v>105994.34</v>
      </c>
      <c r="C11" s="240">
        <v>30891.87</v>
      </c>
    </row>
    <row r="12" spans="1:3" x14ac:dyDescent="0.2">
      <c r="A12" t="s">
        <v>781</v>
      </c>
      <c r="B12" s="240">
        <v>452055.96</v>
      </c>
      <c r="C12" s="240">
        <v>136597.96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10162917.600000001</v>
      </c>
      <c r="C13" s="231">
        <f>SUM(C10:C12)</f>
        <v>5026491.12</v>
      </c>
    </row>
    <row r="14" spans="1:3" x14ac:dyDescent="0.2">
      <c r="B14" s="230"/>
      <c r="C14" s="230"/>
    </row>
    <row r="15" spans="1:3" x14ac:dyDescent="0.2">
      <c r="B15" s="283" t="s">
        <v>783</v>
      </c>
      <c r="C15" s="283"/>
    </row>
    <row r="16" spans="1:3" x14ac:dyDescent="0.2">
      <c r="A16" s="239" t="s">
        <v>787</v>
      </c>
      <c r="B16" s="281" t="s">
        <v>707</v>
      </c>
      <c r="C16" s="282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3467959.3199999994</v>
      </c>
      <c r="C18" s="229">
        <f>'DOE25'!G198+'DOE25'!G216+'DOE25'!G234+'DOE25'!G277+'DOE25'!G296+'DOE25'!G315</f>
        <v>1305712.1599999999</v>
      </c>
    </row>
    <row r="19" spans="1:3" x14ac:dyDescent="0.2">
      <c r="A19" t="s">
        <v>779</v>
      </c>
      <c r="B19" s="240">
        <v>2057162.28</v>
      </c>
      <c r="C19" s="240">
        <v>920062.78</v>
      </c>
    </row>
    <row r="20" spans="1:3" x14ac:dyDescent="0.2">
      <c r="A20" t="s">
        <v>780</v>
      </c>
      <c r="B20" s="240">
        <v>1366167.1</v>
      </c>
      <c r="C20" s="240">
        <v>385578.66</v>
      </c>
    </row>
    <row r="21" spans="1:3" x14ac:dyDescent="0.2">
      <c r="A21" t="s">
        <v>781</v>
      </c>
      <c r="B21" s="240">
        <v>44629.94</v>
      </c>
      <c r="C21" s="240">
        <v>70.72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3467959.32</v>
      </c>
      <c r="C22" s="231">
        <f>SUM(C19:C21)</f>
        <v>1305712.1599999999</v>
      </c>
    </row>
    <row r="23" spans="1:3" x14ac:dyDescent="0.2">
      <c r="B23" s="230"/>
      <c r="C23" s="230"/>
    </row>
    <row r="24" spans="1:3" x14ac:dyDescent="0.2">
      <c r="B24" s="283" t="s">
        <v>783</v>
      </c>
      <c r="C24" s="283"/>
    </row>
    <row r="25" spans="1:3" x14ac:dyDescent="0.2">
      <c r="A25" s="239" t="s">
        <v>788</v>
      </c>
      <c r="B25" s="281" t="s">
        <v>708</v>
      </c>
      <c r="C25" s="282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3" t="s">
        <v>783</v>
      </c>
      <c r="C33" s="283"/>
    </row>
    <row r="34" spans="1:3" x14ac:dyDescent="0.2">
      <c r="A34" s="239" t="s">
        <v>789</v>
      </c>
      <c r="B34" s="281" t="s">
        <v>709</v>
      </c>
      <c r="C34" s="282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300998.93</v>
      </c>
      <c r="C36" s="235">
        <f>'DOE25'!G200+'DOE25'!G218+'DOE25'!G236+'DOE25'!G279+'DOE25'!G298+'DOE25'!G317</f>
        <v>46354.89</v>
      </c>
    </row>
    <row r="37" spans="1:3" x14ac:dyDescent="0.2">
      <c r="A37" t="s">
        <v>779</v>
      </c>
      <c r="B37" s="240">
        <v>150402.49</v>
      </c>
      <c r="C37" s="240">
        <f>34479.04</f>
        <v>34479.040000000001</v>
      </c>
    </row>
    <row r="38" spans="1:3" x14ac:dyDescent="0.2">
      <c r="A38" t="s">
        <v>780</v>
      </c>
      <c r="B38" s="240">
        <v>42957.94</v>
      </c>
      <c r="C38" s="240">
        <f>3601.95</f>
        <v>3601.95</v>
      </c>
    </row>
    <row r="39" spans="1:3" x14ac:dyDescent="0.2">
      <c r="A39" t="s">
        <v>781</v>
      </c>
      <c r="B39" s="240">
        <f>95616+12022.5</f>
        <v>107638.5</v>
      </c>
      <c r="C39" s="240">
        <f>7354.15+919.75</f>
        <v>8273.9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300998.93</v>
      </c>
      <c r="C40" s="231">
        <f>SUM(C37:C39)</f>
        <v>46354.89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C6" sqref="C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3" t="s">
        <v>790</v>
      </c>
      <c r="B1" s="288"/>
      <c r="C1" s="288"/>
      <c r="D1" s="288"/>
      <c r="E1" s="288"/>
      <c r="F1" s="288"/>
      <c r="G1" s="288"/>
      <c r="H1" s="288"/>
      <c r="I1" s="181"/>
    </row>
    <row r="2" spans="1:9" x14ac:dyDescent="0.2">
      <c r="A2" s="33" t="s">
        <v>717</v>
      </c>
      <c r="B2" s="265" t="str">
        <f>'DOE25'!A2</f>
        <v>Kearsarge Regional School District</v>
      </c>
      <c r="C2" s="181"/>
      <c r="D2" s="181" t="s">
        <v>792</v>
      </c>
      <c r="E2" s="181" t="s">
        <v>794</v>
      </c>
      <c r="F2" s="285" t="s">
        <v>821</v>
      </c>
      <c r="G2" s="286"/>
      <c r="H2" s="287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23070155.829999998</v>
      </c>
      <c r="D5" s="20">
        <f>SUM('DOE25'!L197:L200)+SUM('DOE25'!L215:L218)+SUM('DOE25'!L233:L236)-F5-G5</f>
        <v>22706491.929999996</v>
      </c>
      <c r="E5" s="243"/>
      <c r="F5" s="255">
        <f>SUM('DOE25'!J197:J200)+SUM('DOE25'!J215:J218)+SUM('DOE25'!J233:J236)</f>
        <v>335612.73</v>
      </c>
      <c r="G5" s="53">
        <f>SUM('DOE25'!K197:K200)+SUM('DOE25'!K215:K218)+SUM('DOE25'!K233:K236)</f>
        <v>28051.17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1497912.5699999998</v>
      </c>
      <c r="D6" s="20">
        <f>'DOE25'!L202+'DOE25'!L220+'DOE25'!L238-F6-G6</f>
        <v>1496592.4699999997</v>
      </c>
      <c r="E6" s="243"/>
      <c r="F6" s="255">
        <f>'DOE25'!J202+'DOE25'!J220+'DOE25'!J238</f>
        <v>1211.0999999999999</v>
      </c>
      <c r="G6" s="53">
        <f>'DOE25'!K202+'DOE25'!K220+'DOE25'!K238</f>
        <v>109</v>
      </c>
      <c r="H6" s="259"/>
    </row>
    <row r="7" spans="1:9" x14ac:dyDescent="0.2">
      <c r="A7" s="32">
        <v>2200</v>
      </c>
      <c r="B7" t="s">
        <v>834</v>
      </c>
      <c r="C7" s="245">
        <f t="shared" si="0"/>
        <v>600530.75</v>
      </c>
      <c r="D7" s="20">
        <f>'DOE25'!L203+'DOE25'!L221+'DOE25'!L239-F7-G7</f>
        <v>591022.52</v>
      </c>
      <c r="E7" s="243"/>
      <c r="F7" s="255">
        <f>'DOE25'!J203+'DOE25'!J221+'DOE25'!J239</f>
        <v>9508.2300000000014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1076847.5599999998</v>
      </c>
      <c r="D8" s="243"/>
      <c r="E8" s="20">
        <f>'DOE25'!L204+'DOE25'!L222+'DOE25'!L240-F8-G8-D9-D11</f>
        <v>1055422.8599999999</v>
      </c>
      <c r="F8" s="255">
        <f>'DOE25'!J204+'DOE25'!J222+'DOE25'!J240</f>
        <v>4022.8999999999996</v>
      </c>
      <c r="G8" s="53">
        <f>'DOE25'!K204+'DOE25'!K222+'DOE25'!K240</f>
        <v>17401.8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35087.56</v>
      </c>
      <c r="D9" s="244">
        <v>35087.56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37000</v>
      </c>
      <c r="D10" s="243"/>
      <c r="E10" s="244">
        <v>37000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492228.13</v>
      </c>
      <c r="D11" s="244">
        <v>492228.13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2558989.98</v>
      </c>
      <c r="D12" s="20">
        <f>'DOE25'!L205+'DOE25'!L223+'DOE25'!L241-F12-G12</f>
        <v>2538711.34</v>
      </c>
      <c r="E12" s="243"/>
      <c r="F12" s="255">
        <f>'DOE25'!J205+'DOE25'!J223+'DOE25'!J241</f>
        <v>1976.35</v>
      </c>
      <c r="G12" s="53">
        <f>'DOE25'!K205+'DOE25'!K223+'DOE25'!K241</f>
        <v>18302.29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3902966.08</v>
      </c>
      <c r="D14" s="20">
        <f>'DOE25'!L207+'DOE25'!L225+'DOE25'!L243-F14-G14</f>
        <v>3897857.7800000003</v>
      </c>
      <c r="E14" s="243"/>
      <c r="F14" s="255">
        <f>'DOE25'!J207+'DOE25'!J225+'DOE25'!J243</f>
        <v>5108.3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2299104.7000000002</v>
      </c>
      <c r="D15" s="20">
        <f>'DOE25'!L208+'DOE25'!L226+'DOE25'!L244-F15-G15</f>
        <v>2299104.7000000002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17795.59</v>
      </c>
      <c r="D17" s="20">
        <f>'DOE25'!L251-F17-G17</f>
        <v>17795.59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2107306</v>
      </c>
      <c r="D25" s="243"/>
      <c r="E25" s="243"/>
      <c r="F25" s="258"/>
      <c r="G25" s="256"/>
      <c r="H25" s="257">
        <f>'DOE25'!L260+'DOE25'!L261+'DOE25'!L341+'DOE25'!L342</f>
        <v>2107306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618697.41</v>
      </c>
      <c r="D29" s="20">
        <f>'DOE25'!L358+'DOE25'!L359+'DOE25'!L360-'DOE25'!I367-F29-G29</f>
        <v>611351.57999999996</v>
      </c>
      <c r="E29" s="243"/>
      <c r="F29" s="255">
        <f>'DOE25'!J358+'DOE25'!J359+'DOE25'!J360</f>
        <v>7070.27</v>
      </c>
      <c r="G29" s="53">
        <f>'DOE25'!K358+'DOE25'!K359+'DOE25'!K360</f>
        <v>275.56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885619.01</v>
      </c>
      <c r="D31" s="20">
        <f>'DOE25'!L290+'DOE25'!L309+'DOE25'!L328+'DOE25'!L333+'DOE25'!L334+'DOE25'!L335-F31-G31</f>
        <v>765815.01</v>
      </c>
      <c r="E31" s="243"/>
      <c r="F31" s="255">
        <f>'DOE25'!J290+'DOE25'!J309+'DOE25'!J328+'DOE25'!J333+'DOE25'!J334+'DOE25'!J335</f>
        <v>98952.8</v>
      </c>
      <c r="G31" s="53">
        <f>'DOE25'!K290+'DOE25'!K309+'DOE25'!K328+'DOE25'!K333+'DOE25'!K334+'DOE25'!K335</f>
        <v>20851.2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35452058.609999992</v>
      </c>
      <c r="E33" s="246">
        <f>SUM(E5:E31)</f>
        <v>1092422.8599999999</v>
      </c>
      <c r="F33" s="246">
        <f>SUM(F5:F31)</f>
        <v>463462.67999999993</v>
      </c>
      <c r="G33" s="246">
        <f>SUM(G5:G31)</f>
        <v>84991.02</v>
      </c>
      <c r="H33" s="246">
        <f>SUM(H5:H31)</f>
        <v>2107306</v>
      </c>
    </row>
    <row r="35" spans="2:8" ht="12" thickBot="1" x14ac:dyDescent="0.25">
      <c r="B35" s="253" t="s">
        <v>847</v>
      </c>
      <c r="D35" s="254">
        <f>E33</f>
        <v>1092422.8599999999</v>
      </c>
      <c r="E35" s="249"/>
    </row>
    <row r="36" spans="2:8" ht="12" thickTop="1" x14ac:dyDescent="0.2">
      <c r="B36" t="s">
        <v>815</v>
      </c>
      <c r="D36" s="20">
        <f>D33</f>
        <v>35452058.609999992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41" activePane="bottomLeft" state="frozen"/>
      <selection activeCell="C6" sqref="C6"/>
      <selection pane="bottomLeft" activeCell="C139" sqref="C1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Kearsarge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2205679.31</v>
      </c>
      <c r="D8" s="95">
        <f>'DOE25'!G9</f>
        <v>0</v>
      </c>
      <c r="E8" s="95">
        <f>'DOE25'!H9</f>
        <v>0</v>
      </c>
      <c r="F8" s="95">
        <f>'DOE25'!I9</f>
        <v>151155.03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3106546.29</v>
      </c>
      <c r="D9" s="95">
        <f>'DOE25'!G10</f>
        <v>446493.71</v>
      </c>
      <c r="E9" s="95">
        <f>'DOE25'!H10</f>
        <v>0</v>
      </c>
      <c r="F9" s="95">
        <f>'DOE25'!I10</f>
        <v>0</v>
      </c>
      <c r="G9" s="95">
        <f>'DOE25'!J10</f>
        <v>1882225.23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768732.59000000008</v>
      </c>
      <c r="D11" s="95">
        <f>'DOE25'!G12</f>
        <v>36988.54</v>
      </c>
      <c r="E11" s="95">
        <f>'DOE25'!H12</f>
        <v>310688.02</v>
      </c>
      <c r="F11" s="95">
        <f>'DOE25'!I12</f>
        <v>0</v>
      </c>
      <c r="G11" s="95">
        <f>'DOE25'!J12</f>
        <v>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122725.44</v>
      </c>
      <c r="D12" s="95">
        <f>'DOE25'!G13</f>
        <v>59252.210000000006</v>
      </c>
      <c r="E12" s="95">
        <f>'DOE25'!H13</f>
        <v>370280.3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86240.09</v>
      </c>
      <c r="D15" s="95">
        <f>'DOE25'!G16</f>
        <v>9916.18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17376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6307299.7199999997</v>
      </c>
      <c r="D18" s="41">
        <f>SUM(D8:D17)</f>
        <v>552650.64</v>
      </c>
      <c r="E18" s="41">
        <f>SUM(E8:E17)</f>
        <v>680968.32000000007</v>
      </c>
      <c r="F18" s="41">
        <f>SUM(F8:F17)</f>
        <v>151155.03</v>
      </c>
      <c r="G18" s="41">
        <f>SUM(G8:G17)</f>
        <v>1882227.23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312968.49</v>
      </c>
      <c r="D21" s="95">
        <f>'DOE25'!G22</f>
        <v>515501.9</v>
      </c>
      <c r="E21" s="95">
        <f>'DOE25'!H22</f>
        <v>248696.56</v>
      </c>
      <c r="F21" s="95">
        <f>'DOE25'!I22</f>
        <v>45732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500843.49</v>
      </c>
      <c r="D23" s="95">
        <f>'DOE25'!G28</f>
        <v>2675.03</v>
      </c>
      <c r="E23" s="95">
        <f>'DOE25'!H24</f>
        <v>56194.11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1203116.6400000001</v>
      </c>
      <c r="D27" s="95" t="e">
        <f>'DOE25'!#REF!</f>
        <v>#REF!</v>
      </c>
      <c r="E27" s="95">
        <f>'DOE25'!H28</f>
        <v>36033.1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7712.5599999999995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1272379.8899999999</v>
      </c>
      <c r="D29" s="95">
        <f>'DOE25'!G30</f>
        <v>17431.53</v>
      </c>
      <c r="E29" s="95">
        <f>'DOE25'!H30</f>
        <v>314201.87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3297021.0700000003</v>
      </c>
      <c r="D31" s="41" t="e">
        <f>SUM(D21:D30)</f>
        <v>#REF!</v>
      </c>
      <c r="E31" s="41">
        <f>SUM(E21:E30)</f>
        <v>655125.6399999999</v>
      </c>
      <c r="F31" s="41">
        <f>SUM(F21:F30)</f>
        <v>45732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86240.09</v>
      </c>
      <c r="D34" s="95">
        <f>'DOE25'!G35</f>
        <v>9916.18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17376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342466.8</v>
      </c>
      <c r="D44" s="95">
        <f>'DOE25'!G45</f>
        <v>0</v>
      </c>
      <c r="E44" s="95">
        <f>'DOE25'!H45</f>
        <v>25842.68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821019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105423.03</v>
      </c>
      <c r="G47" s="95">
        <f>'DOE25'!J48</f>
        <v>1882227.23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1668176.7600000054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3010278.6500000055</v>
      </c>
      <c r="D50" s="41">
        <f>SUM(D34:D49)</f>
        <v>9916.18</v>
      </c>
      <c r="E50" s="41">
        <f>SUM(E34:E49)</f>
        <v>25842.68</v>
      </c>
      <c r="F50" s="41">
        <f>SUM(F34:F49)</f>
        <v>105423.03</v>
      </c>
      <c r="G50" s="41">
        <f>SUM(G34:G49)</f>
        <v>1882227.23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6307299.7200000063</v>
      </c>
      <c r="D51" s="41" t="e">
        <f>D50+D31</f>
        <v>#REF!</v>
      </c>
      <c r="E51" s="41">
        <f>E50+E31</f>
        <v>680968.32</v>
      </c>
      <c r="F51" s="41">
        <f>F50+F31</f>
        <v>151155.03</v>
      </c>
      <c r="G51" s="41">
        <f>G50+G31</f>
        <v>1882227.23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25940101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115192.72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17671.47</v>
      </c>
      <c r="D59" s="95">
        <f>'DOE25'!G96</f>
        <v>1910.06</v>
      </c>
      <c r="E59" s="95">
        <f>'DOE25'!H96</f>
        <v>0</v>
      </c>
      <c r="F59" s="95">
        <f>'DOE25'!I96</f>
        <v>464.15</v>
      </c>
      <c r="G59" s="95">
        <f>'DOE25'!J96</f>
        <v>8350.0400000000009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368535.05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41288.97</v>
      </c>
      <c r="D61" s="95">
        <f>SUM('DOE25'!G98:G110)</f>
        <v>49154.13</v>
      </c>
      <c r="E61" s="95">
        <f>SUM('DOE25'!H98:H110)</f>
        <v>116581.99</v>
      </c>
      <c r="F61" s="95">
        <f>SUM('DOE25'!I98:I110)</f>
        <v>0</v>
      </c>
      <c r="G61" s="95">
        <f>SUM('DOE25'!J98:J110)</f>
        <v>42159.790000000008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174153.16</v>
      </c>
      <c r="D62" s="130">
        <f>SUM(D57:D61)</f>
        <v>419599.24</v>
      </c>
      <c r="E62" s="130">
        <f>SUM(E57:E61)</f>
        <v>116581.99</v>
      </c>
      <c r="F62" s="130">
        <f>SUM(F57:F61)</f>
        <v>464.15</v>
      </c>
      <c r="G62" s="130">
        <f>SUM(G57:G61)</f>
        <v>50509.830000000009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26114254.16</v>
      </c>
      <c r="D63" s="22">
        <f>D56+D62</f>
        <v>419599.24</v>
      </c>
      <c r="E63" s="22">
        <f>E56+E62</f>
        <v>116581.99</v>
      </c>
      <c r="F63" s="22">
        <f>F56+F62</f>
        <v>464.15</v>
      </c>
      <c r="G63" s="22">
        <f>G56+G62</f>
        <v>50509.830000000009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2855499.38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6900650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9756149.379999999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952451.15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838164.92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26070.2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6301.88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1816686.27</v>
      </c>
      <c r="D78" s="130">
        <f>SUM(D72:D77)</f>
        <v>6301.88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11572835.649999999</v>
      </c>
      <c r="D81" s="130">
        <f>SUM(D79:D80)+D78+D70</f>
        <v>6301.88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388826.35000000003</v>
      </c>
      <c r="D88" s="95">
        <f>SUM('DOE25'!G153:G161)</f>
        <v>217414.18</v>
      </c>
      <c r="E88" s="95">
        <f>SUM('DOE25'!H153:H161)</f>
        <v>815995.61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388826.35000000003</v>
      </c>
      <c r="D91" s="131">
        <f>SUM(D85:D90)</f>
        <v>217414.18</v>
      </c>
      <c r="E91" s="131">
        <f>SUM(E85:E90)</f>
        <v>815995.61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63483.96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20504.11</v>
      </c>
      <c r="E96" s="95">
        <f>'DOE25'!H179</f>
        <v>0</v>
      </c>
      <c r="F96" s="95">
        <f>'DOE25'!I179</f>
        <v>0</v>
      </c>
      <c r="G96" s="95">
        <f>'DOE25'!J179</f>
        <v>125000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117000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180483.96</v>
      </c>
      <c r="D103" s="86">
        <f>SUM(D93:D102)</f>
        <v>20504.11</v>
      </c>
      <c r="E103" s="86">
        <f>SUM(E93:E102)</f>
        <v>0</v>
      </c>
      <c r="F103" s="86">
        <f>SUM(F93:F102)</f>
        <v>0</v>
      </c>
      <c r="G103" s="86">
        <f>SUM(G93:G102)</f>
        <v>125000</v>
      </c>
    </row>
    <row r="104" spans="1:7" ht="12.75" thickTop="1" thickBot="1" x14ac:dyDescent="0.25">
      <c r="A104" s="33" t="s">
        <v>765</v>
      </c>
      <c r="C104" s="86">
        <f>C63+C81+C91+C103</f>
        <v>38256400.120000005</v>
      </c>
      <c r="D104" s="86">
        <f>D63+D81+D91+D103</f>
        <v>663819.41</v>
      </c>
      <c r="E104" s="86">
        <f>E63+E81+E91+E103</f>
        <v>932577.6</v>
      </c>
      <c r="F104" s="86">
        <f>F63+F81+F91+F103</f>
        <v>464.15</v>
      </c>
      <c r="G104" s="86">
        <f>G63+G81+G103</f>
        <v>175509.83000000002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16126701.59</v>
      </c>
      <c r="D109" s="24" t="s">
        <v>289</v>
      </c>
      <c r="E109" s="95">
        <f>('DOE25'!L276)+('DOE25'!L295)+('DOE25'!L314)</f>
        <v>309475.15999999997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6362848.8999999994</v>
      </c>
      <c r="D110" s="24" t="s">
        <v>289</v>
      </c>
      <c r="E110" s="95">
        <f>('DOE25'!L277)+('DOE25'!L296)+('DOE25'!L315)</f>
        <v>288259.5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79007.929999999993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501597.41000000003</v>
      </c>
      <c r="D112" s="24" t="s">
        <v>289</v>
      </c>
      <c r="E112" s="95">
        <f>+('DOE25'!L279)+('DOE25'!L298)+('DOE25'!L317)</f>
        <v>15306.08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17795.59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23087951.419999998</v>
      </c>
      <c r="D115" s="86">
        <f>SUM(D109:D114)</f>
        <v>0</v>
      </c>
      <c r="E115" s="86">
        <f>SUM(E109:E114)</f>
        <v>613040.73999999987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1497912.5699999998</v>
      </c>
      <c r="D118" s="24" t="s">
        <v>289</v>
      </c>
      <c r="E118" s="95">
        <f>+('DOE25'!L281)+('DOE25'!L300)+('DOE25'!L319)</f>
        <v>130940.79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600530.75</v>
      </c>
      <c r="D119" s="24" t="s">
        <v>289</v>
      </c>
      <c r="E119" s="95">
        <f>+('DOE25'!L282)+('DOE25'!L301)+('DOE25'!L320)</f>
        <v>114804.93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1604163.25</v>
      </c>
      <c r="D120" s="24" t="s">
        <v>289</v>
      </c>
      <c r="E120" s="95">
        <f>+('DOE25'!L283)+('DOE25'!L302)+('DOE25'!L321)</f>
        <v>5981.35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2558989.98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3902966.08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2299104.7000000002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20851.2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663944.41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12463667.329999998</v>
      </c>
      <c r="D128" s="86">
        <f>SUM(D118:D127)</f>
        <v>663944.41</v>
      </c>
      <c r="E128" s="86">
        <f>SUM(E118:E127)</f>
        <v>272578.26999999996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1378877.73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728428.27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160021.6</v>
      </c>
    </row>
    <row r="135" spans="1:7" x14ac:dyDescent="0.2">
      <c r="A135" t="s">
        <v>233</v>
      </c>
      <c r="B135" s="32" t="s">
        <v>234</v>
      </c>
      <c r="C135" s="95">
        <f>'DOE25'!L263</f>
        <v>20504.11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175509.83000000002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-50509.830000000016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2252810.11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160021.6</v>
      </c>
    </row>
    <row r="145" spans="1:9" ht="12.75" thickTop="1" thickBot="1" x14ac:dyDescent="0.25">
      <c r="A145" s="33" t="s">
        <v>244</v>
      </c>
      <c r="C145" s="86">
        <f>(C115+C128+C144)</f>
        <v>37804428.859999999</v>
      </c>
      <c r="D145" s="86">
        <f>(D115+D128+D144)</f>
        <v>663944.41</v>
      </c>
      <c r="E145" s="86">
        <f>(E115+E128+E144)</f>
        <v>885619.00999999978</v>
      </c>
      <c r="F145" s="86">
        <f>(F115+F128+F144)</f>
        <v>0</v>
      </c>
      <c r="G145" s="86">
        <f>(G115+G128+G144)</f>
        <v>160021.6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15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08/06</v>
      </c>
      <c r="C152" s="152" t="str">
        <f>'DOE25'!G491</f>
        <v>11/10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08/26</v>
      </c>
      <c r="C153" s="152" t="str">
        <f>'DOE25'!G492</f>
        <v>7/25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24450150</v>
      </c>
      <c r="C154" s="137">
        <f>'DOE25'!G493</f>
        <v>2231283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4.6100000000000003</v>
      </c>
      <c r="C155" s="137">
        <f>'DOE25'!G494</f>
        <v>4.375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11587267.380000001</v>
      </c>
      <c r="C156" s="137">
        <f>'DOE25'!G495</f>
        <v>1636274.2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13223541.58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1230125.53</v>
      </c>
      <c r="C158" s="137">
        <f>'DOE25'!G497</f>
        <v>148752.20000000001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1378877.73</v>
      </c>
    </row>
    <row r="159" spans="1:9" x14ac:dyDescent="0.2">
      <c r="A159" s="22" t="s">
        <v>35</v>
      </c>
      <c r="B159" s="137">
        <f>'DOE25'!F498</f>
        <v>10357141.850000001</v>
      </c>
      <c r="C159" s="137">
        <f>'DOE25'!G498</f>
        <v>1487522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11844663.850000001</v>
      </c>
    </row>
    <row r="160" spans="1:9" x14ac:dyDescent="0.2">
      <c r="A160" s="22" t="s">
        <v>36</v>
      </c>
      <c r="B160" s="137">
        <f>'DOE25'!F499</f>
        <v>10449460.68</v>
      </c>
      <c r="C160" s="137">
        <f>'DOE25'!G499</f>
        <v>325448.95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10774909.629999999</v>
      </c>
    </row>
    <row r="161" spans="1:7" x14ac:dyDescent="0.2">
      <c r="A161" s="22" t="s">
        <v>37</v>
      </c>
      <c r="B161" s="137">
        <f>'DOE25'!F500</f>
        <v>20806602.530000001</v>
      </c>
      <c r="C161" s="137">
        <f>'DOE25'!G500</f>
        <v>1812970.95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22619573.48</v>
      </c>
    </row>
    <row r="162" spans="1:7" x14ac:dyDescent="0.2">
      <c r="A162" s="22" t="s">
        <v>38</v>
      </c>
      <c r="B162" s="137">
        <f>'DOE25'!F501</f>
        <v>1173532.43</v>
      </c>
      <c r="C162" s="137">
        <f>'DOE25'!G501</f>
        <v>148752.20000000001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1322284.6299999999</v>
      </c>
    </row>
    <row r="163" spans="1:7" x14ac:dyDescent="0.2">
      <c r="A163" s="22" t="s">
        <v>39</v>
      </c>
      <c r="B163" s="137">
        <f>'DOE25'!F502</f>
        <v>715590.07</v>
      </c>
      <c r="C163" s="137">
        <f>'DOE25'!G502</f>
        <v>61976.65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777566.71999999997</v>
      </c>
    </row>
    <row r="164" spans="1:7" x14ac:dyDescent="0.2">
      <c r="A164" s="22" t="s">
        <v>246</v>
      </c>
      <c r="B164" s="137">
        <f>'DOE25'!F503</f>
        <v>1889122.5</v>
      </c>
      <c r="C164" s="137">
        <f>'DOE25'!G503</f>
        <v>210728.85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2099851.35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13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9" t="s">
        <v>740</v>
      </c>
      <c r="B1" s="289"/>
      <c r="C1" s="289"/>
      <c r="D1" s="289"/>
    </row>
    <row r="2" spans="1:4" x14ac:dyDescent="0.2">
      <c r="A2" s="187" t="s">
        <v>717</v>
      </c>
      <c r="B2" s="186" t="str">
        <f>'DOE25'!A2</f>
        <v>Kearsarge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15965</v>
      </c>
    </row>
    <row r="5" spans="1:4" x14ac:dyDescent="0.2">
      <c r="B5" t="s">
        <v>704</v>
      </c>
      <c r="C5" s="179">
        <f>IF('DOE25'!G665+'DOE25'!G670=0,0,ROUND('DOE25'!G672,0))</f>
        <v>20729</v>
      </c>
    </row>
    <row r="6" spans="1:4" x14ac:dyDescent="0.2">
      <c r="B6" t="s">
        <v>62</v>
      </c>
      <c r="C6" s="179">
        <f>IF('DOE25'!H665+'DOE25'!H670=0,0,ROUND('DOE25'!H672,0))</f>
        <v>19220</v>
      </c>
    </row>
    <row r="7" spans="1:4" x14ac:dyDescent="0.2">
      <c r="B7" t="s">
        <v>705</v>
      </c>
      <c r="C7" s="179">
        <f>IF('DOE25'!I665+'DOE25'!I670=0,0,ROUND('DOE25'!I672,0))</f>
        <v>18101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16436177</v>
      </c>
      <c r="D10" s="182">
        <f>ROUND((C10/$C$28)*100,1)</f>
        <v>43.9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6651108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79008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516903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1628853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715336</v>
      </c>
      <c r="D16" s="182">
        <f t="shared" si="0"/>
        <v>1.9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1630996</v>
      </c>
      <c r="D17" s="182">
        <f t="shared" si="0"/>
        <v>4.4000000000000004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2558990</v>
      </c>
      <c r="D18" s="182">
        <f t="shared" si="0"/>
        <v>6.8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3902966</v>
      </c>
      <c r="D20" s="182">
        <f t="shared" si="0"/>
        <v>10.4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2299105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17796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728428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246254.82</v>
      </c>
      <c r="D27" s="182">
        <f t="shared" si="0"/>
        <v>0.7</v>
      </c>
    </row>
    <row r="28" spans="1:4" x14ac:dyDescent="0.2">
      <c r="B28" s="187" t="s">
        <v>723</v>
      </c>
      <c r="C28" s="180">
        <f>SUM(C10:C27)</f>
        <v>37411920.82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37411920.82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1378878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25940101</v>
      </c>
      <c r="D35" s="182">
        <f t="shared" ref="D35:D40" si="1">ROUND((C35/$C$41)*100,1)</f>
        <v>66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343619.18999999389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9756149</v>
      </c>
      <c r="D37" s="182">
        <f t="shared" si="1"/>
        <v>24.8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1822988</v>
      </c>
      <c r="D38" s="182">
        <f t="shared" si="1"/>
        <v>4.5999999999999996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1422236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39285093.189999998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63484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89"/>
  <sheetViews>
    <sheetView workbookViewId="0">
      <pane ySplit="3" topLeftCell="A4" activePane="bottomLeft" state="frozen"/>
      <selection activeCell="C6" sqref="C6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300" t="s">
        <v>770</v>
      </c>
      <c r="B1" s="301"/>
      <c r="C1" s="301"/>
      <c r="D1" s="301"/>
      <c r="E1" s="301"/>
      <c r="F1" s="301"/>
      <c r="G1" s="301"/>
      <c r="H1" s="301"/>
      <c r="I1" s="301"/>
      <c r="J1" s="213"/>
      <c r="K1" s="213"/>
      <c r="L1" s="213"/>
      <c r="M1" s="214"/>
    </row>
    <row r="2" spans="1:26" ht="12.75" x14ac:dyDescent="0.2">
      <c r="A2" s="306" t="s">
        <v>767</v>
      </c>
      <c r="B2" s="307"/>
      <c r="C2" s="307"/>
      <c r="D2" s="307"/>
      <c r="E2" s="307"/>
      <c r="F2" s="304" t="str">
        <f>'DOE25'!A2</f>
        <v>Kearsarge Regional School District</v>
      </c>
      <c r="G2" s="305"/>
      <c r="H2" s="305"/>
      <c r="I2" s="305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302" t="s">
        <v>771</v>
      </c>
      <c r="D3" s="302"/>
      <c r="E3" s="302"/>
      <c r="F3" s="302"/>
      <c r="G3" s="302"/>
      <c r="H3" s="302"/>
      <c r="I3" s="302"/>
      <c r="J3" s="302"/>
      <c r="K3" s="302"/>
      <c r="L3" s="302"/>
      <c r="M3" s="303"/>
    </row>
    <row r="4" spans="1:26" x14ac:dyDescent="0.2">
      <c r="A4" s="218"/>
      <c r="B4" s="21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91" t="s">
        <v>917</v>
      </c>
      <c r="D5" s="291"/>
      <c r="E5" s="291"/>
      <c r="F5" s="291"/>
      <c r="G5" s="291"/>
      <c r="H5" s="291"/>
      <c r="I5" s="291"/>
      <c r="J5" s="291"/>
      <c r="K5" s="291"/>
      <c r="L5" s="291"/>
      <c r="M5" s="29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"/>
      <c r="B6" s="2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91"/>
      <c r="D7" s="291"/>
      <c r="E7" s="291"/>
      <c r="F7" s="291"/>
      <c r="G7" s="291"/>
      <c r="H7" s="291"/>
      <c r="I7" s="291"/>
      <c r="J7" s="291"/>
      <c r="K7" s="291"/>
      <c r="L7" s="291"/>
      <c r="M7" s="29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10</v>
      </c>
      <c r="B8" s="219">
        <v>18</v>
      </c>
      <c r="C8" s="291" t="s">
        <v>918</v>
      </c>
      <c r="D8" s="291"/>
      <c r="E8" s="291"/>
      <c r="F8" s="291"/>
      <c r="G8" s="291"/>
      <c r="H8" s="291"/>
      <c r="I8" s="291"/>
      <c r="J8" s="291"/>
      <c r="K8" s="291"/>
      <c r="L8" s="291"/>
      <c r="M8" s="29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14</v>
      </c>
      <c r="B9" s="219">
        <v>17</v>
      </c>
      <c r="C9" s="279" t="s">
        <v>919</v>
      </c>
      <c r="D9" s="279"/>
      <c r="E9" s="279"/>
      <c r="F9" s="279"/>
      <c r="G9" s="279"/>
      <c r="H9" s="279"/>
      <c r="I9" s="279"/>
      <c r="J9" s="279"/>
      <c r="K9" s="279"/>
      <c r="L9" s="279"/>
      <c r="M9" s="28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22</v>
      </c>
      <c r="B10" s="219">
        <v>21</v>
      </c>
      <c r="C10" s="279" t="s">
        <v>922</v>
      </c>
      <c r="D10" s="279"/>
      <c r="E10" s="279"/>
      <c r="F10" s="279"/>
      <c r="G10" s="279"/>
      <c r="H10" s="279"/>
      <c r="I10" s="279"/>
      <c r="J10" s="279"/>
      <c r="K10" s="279"/>
      <c r="L10" s="279"/>
      <c r="M10" s="28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23</v>
      </c>
      <c r="B11" s="219">
        <v>8</v>
      </c>
      <c r="C11" s="279" t="s">
        <v>921</v>
      </c>
      <c r="D11" s="279"/>
      <c r="E11" s="279"/>
      <c r="F11" s="279"/>
      <c r="G11" s="279"/>
      <c r="H11" s="279"/>
      <c r="I11" s="279"/>
      <c r="J11" s="279"/>
      <c r="K11" s="279"/>
      <c r="L11" s="279"/>
      <c r="M11" s="28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23</v>
      </c>
      <c r="B12" s="219">
        <v>12</v>
      </c>
      <c r="C12" s="279" t="s">
        <v>920</v>
      </c>
      <c r="D12" s="279"/>
      <c r="E12" s="279"/>
      <c r="F12" s="279"/>
      <c r="G12" s="279"/>
      <c r="H12" s="279"/>
      <c r="I12" s="279"/>
      <c r="J12" s="279"/>
      <c r="K12" s="279"/>
      <c r="L12" s="279"/>
      <c r="M12" s="28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>
        <v>4</v>
      </c>
      <c r="B13" s="219">
        <v>6</v>
      </c>
      <c r="C13" s="291" t="s">
        <v>923</v>
      </c>
      <c r="D13" s="291"/>
      <c r="E13" s="291"/>
      <c r="F13" s="291"/>
      <c r="G13" s="291"/>
      <c r="H13" s="291"/>
      <c r="I13" s="291"/>
      <c r="J13" s="291"/>
      <c r="K13" s="291"/>
      <c r="L13" s="291"/>
      <c r="M13" s="29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91"/>
      <c r="D14" s="291"/>
      <c r="E14" s="291"/>
      <c r="F14" s="291"/>
      <c r="G14" s="291"/>
      <c r="H14" s="291"/>
      <c r="I14" s="291"/>
      <c r="J14" s="291"/>
      <c r="K14" s="291"/>
      <c r="L14" s="291"/>
      <c r="M14" s="29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91"/>
      <c r="D15" s="291"/>
      <c r="E15" s="291"/>
      <c r="F15" s="291"/>
      <c r="G15" s="291"/>
      <c r="H15" s="291"/>
      <c r="I15" s="291"/>
      <c r="J15" s="291"/>
      <c r="K15" s="291"/>
      <c r="L15" s="291"/>
      <c r="M15" s="29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91"/>
      <c r="D16" s="291"/>
      <c r="E16" s="291"/>
      <c r="F16" s="291"/>
      <c r="G16" s="291"/>
      <c r="H16" s="291"/>
      <c r="I16" s="291"/>
      <c r="J16" s="291"/>
      <c r="K16" s="291"/>
      <c r="L16" s="291"/>
      <c r="M16" s="29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91"/>
      <c r="D17" s="291"/>
      <c r="E17" s="291"/>
      <c r="F17" s="291"/>
      <c r="G17" s="291"/>
      <c r="H17" s="291"/>
      <c r="I17" s="291"/>
      <c r="J17" s="291"/>
      <c r="K17" s="291"/>
      <c r="L17" s="291"/>
      <c r="M17" s="29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91"/>
      <c r="D19" s="291"/>
      <c r="E19" s="291"/>
      <c r="F19" s="291"/>
      <c r="G19" s="291"/>
      <c r="H19" s="291"/>
      <c r="I19" s="291"/>
      <c r="J19" s="291"/>
      <c r="K19" s="291"/>
      <c r="L19" s="291"/>
      <c r="M19" s="29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91"/>
      <c r="D20" s="291"/>
      <c r="E20" s="291"/>
      <c r="F20" s="291"/>
      <c r="G20" s="291"/>
      <c r="H20" s="291"/>
      <c r="I20" s="291"/>
      <c r="J20" s="291"/>
      <c r="K20" s="291"/>
      <c r="L20" s="291"/>
      <c r="M20" s="29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91"/>
      <c r="D21" s="291"/>
      <c r="E21" s="291"/>
      <c r="F21" s="291"/>
      <c r="G21" s="291"/>
      <c r="H21" s="291"/>
      <c r="I21" s="291"/>
      <c r="J21" s="291"/>
      <c r="K21" s="291"/>
      <c r="L21" s="291"/>
      <c r="M21" s="29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91"/>
      <c r="D22" s="291"/>
      <c r="E22" s="291"/>
      <c r="F22" s="291"/>
      <c r="G22" s="291"/>
      <c r="H22" s="291"/>
      <c r="I22" s="291"/>
      <c r="J22" s="291"/>
      <c r="K22" s="291"/>
      <c r="L22" s="291"/>
      <c r="M22" s="29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91"/>
      <c r="D23" s="291"/>
      <c r="E23" s="291"/>
      <c r="F23" s="291"/>
      <c r="G23" s="291"/>
      <c r="H23" s="291"/>
      <c r="I23" s="291"/>
      <c r="J23" s="291"/>
      <c r="K23" s="291"/>
      <c r="L23" s="291"/>
      <c r="M23" s="29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91"/>
      <c r="D25" s="291"/>
      <c r="E25" s="291"/>
      <c r="F25" s="291"/>
      <c r="G25" s="291"/>
      <c r="H25" s="291"/>
      <c r="I25" s="291"/>
      <c r="J25" s="291"/>
      <c r="K25" s="291"/>
      <c r="L25" s="291"/>
      <c r="M25" s="29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91"/>
      <c r="D26" s="291"/>
      <c r="E26" s="291"/>
      <c r="F26" s="291"/>
      <c r="G26" s="291"/>
      <c r="H26" s="291"/>
      <c r="I26" s="291"/>
      <c r="J26" s="291"/>
      <c r="K26" s="291"/>
      <c r="L26" s="291"/>
      <c r="M26" s="29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91"/>
      <c r="D28" s="291"/>
      <c r="E28" s="291"/>
      <c r="F28" s="291"/>
      <c r="G28" s="291"/>
      <c r="H28" s="291"/>
      <c r="I28" s="291"/>
      <c r="J28" s="291"/>
      <c r="K28" s="291"/>
      <c r="L28" s="291"/>
      <c r="M28" s="292"/>
      <c r="N28" s="211"/>
      <c r="O28" s="211"/>
      <c r="P28" s="297"/>
      <c r="Q28" s="297"/>
      <c r="R28" s="297"/>
      <c r="S28" s="297"/>
      <c r="T28" s="297"/>
      <c r="U28" s="297"/>
      <c r="V28" s="297"/>
      <c r="W28" s="297"/>
      <c r="X28" s="297"/>
      <c r="Y28" s="297"/>
      <c r="Z28" s="297"/>
      <c r="AA28" s="207"/>
      <c r="AB28" s="207"/>
      <c r="AC28" s="296"/>
      <c r="AD28" s="296"/>
      <c r="AE28" s="296"/>
      <c r="AF28" s="296"/>
      <c r="AG28" s="296"/>
      <c r="AH28" s="296"/>
      <c r="AI28" s="296"/>
      <c r="AJ28" s="296"/>
      <c r="AK28" s="296"/>
      <c r="AL28" s="296"/>
      <c r="AM28" s="296"/>
      <c r="AN28" s="207"/>
      <c r="AO28" s="207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07"/>
      <c r="BB28" s="207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6"/>
      <c r="BN28" s="207"/>
      <c r="BO28" s="207"/>
      <c r="BP28" s="296"/>
      <c r="BQ28" s="296"/>
      <c r="BR28" s="296"/>
      <c r="BS28" s="296"/>
      <c r="BT28" s="296"/>
      <c r="BU28" s="296"/>
      <c r="BV28" s="296"/>
      <c r="BW28" s="296"/>
      <c r="BX28" s="296"/>
      <c r="BY28" s="296"/>
      <c r="BZ28" s="296"/>
      <c r="CA28" s="207"/>
      <c r="CB28" s="207"/>
      <c r="CC28" s="296"/>
      <c r="CD28" s="296"/>
      <c r="CE28" s="296"/>
      <c r="CF28" s="296"/>
      <c r="CG28" s="296"/>
      <c r="CH28" s="296"/>
      <c r="CI28" s="296"/>
      <c r="CJ28" s="296"/>
      <c r="CK28" s="296"/>
      <c r="CL28" s="296"/>
      <c r="CM28" s="296"/>
      <c r="CN28" s="207"/>
      <c r="CO28" s="207"/>
      <c r="CP28" s="296"/>
      <c r="CQ28" s="296"/>
      <c r="CR28" s="296"/>
      <c r="CS28" s="296"/>
      <c r="CT28" s="296"/>
      <c r="CU28" s="296"/>
      <c r="CV28" s="296"/>
      <c r="CW28" s="296"/>
      <c r="CX28" s="296"/>
      <c r="CY28" s="296"/>
      <c r="CZ28" s="296"/>
      <c r="DA28" s="207"/>
      <c r="DB28" s="207"/>
      <c r="DC28" s="296"/>
      <c r="DD28" s="296"/>
      <c r="DE28" s="296"/>
      <c r="DF28" s="296"/>
      <c r="DG28" s="296"/>
      <c r="DH28" s="296"/>
      <c r="DI28" s="296"/>
      <c r="DJ28" s="296"/>
      <c r="DK28" s="296"/>
      <c r="DL28" s="296"/>
      <c r="DM28" s="296"/>
      <c r="DN28" s="207"/>
      <c r="DO28" s="207"/>
      <c r="DP28" s="296"/>
      <c r="DQ28" s="296"/>
      <c r="DR28" s="296"/>
      <c r="DS28" s="296"/>
      <c r="DT28" s="296"/>
      <c r="DU28" s="296"/>
      <c r="DV28" s="296"/>
      <c r="DW28" s="296"/>
      <c r="DX28" s="296"/>
      <c r="DY28" s="296"/>
      <c r="DZ28" s="296"/>
      <c r="EA28" s="207"/>
      <c r="EB28" s="207"/>
      <c r="EC28" s="296"/>
      <c r="ED28" s="296"/>
      <c r="EE28" s="296"/>
      <c r="EF28" s="296"/>
      <c r="EG28" s="296"/>
      <c r="EH28" s="296"/>
      <c r="EI28" s="296"/>
      <c r="EJ28" s="296"/>
      <c r="EK28" s="296"/>
      <c r="EL28" s="296"/>
      <c r="EM28" s="296"/>
      <c r="EN28" s="207"/>
      <c r="EO28" s="207"/>
      <c r="EP28" s="296"/>
      <c r="EQ28" s="296"/>
      <c r="ER28" s="296"/>
      <c r="ES28" s="296"/>
      <c r="ET28" s="296"/>
      <c r="EU28" s="296"/>
      <c r="EV28" s="296"/>
      <c r="EW28" s="296"/>
      <c r="EX28" s="296"/>
      <c r="EY28" s="296"/>
      <c r="EZ28" s="296"/>
      <c r="FA28" s="207"/>
      <c r="FB28" s="207"/>
      <c r="FC28" s="296"/>
      <c r="FD28" s="296"/>
      <c r="FE28" s="296"/>
      <c r="FF28" s="296"/>
      <c r="FG28" s="296"/>
      <c r="FH28" s="296"/>
      <c r="FI28" s="296"/>
      <c r="FJ28" s="296"/>
      <c r="FK28" s="296"/>
      <c r="FL28" s="296"/>
      <c r="FM28" s="296"/>
      <c r="FN28" s="207"/>
      <c r="FO28" s="207"/>
      <c r="FP28" s="296"/>
      <c r="FQ28" s="296"/>
      <c r="FR28" s="296"/>
      <c r="FS28" s="296"/>
      <c r="FT28" s="296"/>
      <c r="FU28" s="296"/>
      <c r="FV28" s="296"/>
      <c r="FW28" s="296"/>
      <c r="FX28" s="296"/>
      <c r="FY28" s="296"/>
      <c r="FZ28" s="296"/>
      <c r="GA28" s="207"/>
      <c r="GB28" s="207"/>
      <c r="GC28" s="296"/>
      <c r="GD28" s="296"/>
      <c r="GE28" s="296"/>
      <c r="GF28" s="296"/>
      <c r="GG28" s="296"/>
      <c r="GH28" s="296"/>
      <c r="GI28" s="296"/>
      <c r="GJ28" s="296"/>
      <c r="GK28" s="296"/>
      <c r="GL28" s="296"/>
      <c r="GM28" s="296"/>
      <c r="GN28" s="207"/>
      <c r="GO28" s="207"/>
      <c r="GP28" s="296"/>
      <c r="GQ28" s="296"/>
      <c r="GR28" s="296"/>
      <c r="GS28" s="296"/>
      <c r="GT28" s="296"/>
      <c r="GU28" s="296"/>
      <c r="GV28" s="296"/>
      <c r="GW28" s="296"/>
      <c r="GX28" s="296"/>
      <c r="GY28" s="296"/>
      <c r="GZ28" s="296"/>
      <c r="HA28" s="207"/>
      <c r="HB28" s="207"/>
      <c r="HC28" s="296"/>
      <c r="HD28" s="296"/>
      <c r="HE28" s="296"/>
      <c r="HF28" s="296"/>
      <c r="HG28" s="296"/>
      <c r="HH28" s="296"/>
      <c r="HI28" s="296"/>
      <c r="HJ28" s="296"/>
      <c r="HK28" s="296"/>
      <c r="HL28" s="296"/>
      <c r="HM28" s="296"/>
      <c r="HN28" s="207"/>
      <c r="HO28" s="207"/>
      <c r="HP28" s="296"/>
      <c r="HQ28" s="296"/>
      <c r="HR28" s="296"/>
      <c r="HS28" s="296"/>
      <c r="HT28" s="296"/>
      <c r="HU28" s="296"/>
      <c r="HV28" s="296"/>
      <c r="HW28" s="296"/>
      <c r="HX28" s="296"/>
      <c r="HY28" s="296"/>
      <c r="HZ28" s="296"/>
      <c r="IA28" s="207"/>
      <c r="IB28" s="207"/>
      <c r="IC28" s="296"/>
      <c r="ID28" s="296"/>
      <c r="IE28" s="296"/>
      <c r="IF28" s="296"/>
      <c r="IG28" s="296"/>
      <c r="IH28" s="296"/>
      <c r="II28" s="296"/>
      <c r="IJ28" s="296"/>
      <c r="IK28" s="296"/>
      <c r="IL28" s="296"/>
      <c r="IM28" s="296"/>
      <c r="IN28" s="207"/>
      <c r="IO28" s="207"/>
      <c r="IP28" s="296"/>
      <c r="IQ28" s="296"/>
      <c r="IR28" s="296"/>
      <c r="IS28" s="296"/>
      <c r="IT28" s="296"/>
      <c r="IU28" s="296"/>
      <c r="IV28" s="296"/>
    </row>
    <row r="29" spans="1:256" x14ac:dyDescent="0.2">
      <c r="A29" s="218"/>
      <c r="B29" s="219"/>
      <c r="C29" s="291"/>
      <c r="D29" s="291"/>
      <c r="E29" s="291"/>
      <c r="F29" s="291"/>
      <c r="G29" s="291"/>
      <c r="H29" s="291"/>
      <c r="I29" s="291"/>
      <c r="J29" s="291"/>
      <c r="K29" s="291"/>
      <c r="L29" s="291"/>
      <c r="M29" s="292"/>
      <c r="N29" s="211"/>
      <c r="O29" s="211"/>
      <c r="P29" s="297"/>
      <c r="Q29" s="297"/>
      <c r="R29" s="297"/>
      <c r="S29" s="297"/>
      <c r="T29" s="297"/>
      <c r="U29" s="297"/>
      <c r="V29" s="297"/>
      <c r="W29" s="297"/>
      <c r="X29" s="297"/>
      <c r="Y29" s="297"/>
      <c r="Z29" s="297"/>
      <c r="AA29" s="207"/>
      <c r="AB29" s="207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7"/>
      <c r="AO29" s="207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7"/>
      <c r="BB29" s="207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7"/>
      <c r="BO29" s="207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7"/>
      <c r="CB29" s="207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7"/>
      <c r="CO29" s="207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7"/>
      <c r="DB29" s="207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7"/>
      <c r="DO29" s="207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7"/>
      <c r="EB29" s="207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7"/>
      <c r="EO29" s="207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7"/>
      <c r="FB29" s="207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7"/>
      <c r="FO29" s="207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7"/>
      <c r="GB29" s="207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7"/>
      <c r="GO29" s="207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7"/>
      <c r="HB29" s="207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7"/>
      <c r="HO29" s="207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7"/>
      <c r="IB29" s="207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7"/>
      <c r="IO29" s="207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8"/>
      <c r="B30" s="219"/>
      <c r="C30" s="291"/>
      <c r="D30" s="291"/>
      <c r="E30" s="291"/>
      <c r="F30" s="291"/>
      <c r="G30" s="291"/>
      <c r="H30" s="291"/>
      <c r="I30" s="291"/>
      <c r="J30" s="291"/>
      <c r="K30" s="291"/>
      <c r="L30" s="291"/>
      <c r="M30" s="292"/>
      <c r="N30" s="211"/>
      <c r="O30" s="211"/>
      <c r="P30" s="297"/>
      <c r="Q30" s="297"/>
      <c r="R30" s="297"/>
      <c r="S30" s="297"/>
      <c r="T30" s="297"/>
      <c r="U30" s="297"/>
      <c r="V30" s="297"/>
      <c r="W30" s="297"/>
      <c r="X30" s="297"/>
      <c r="Y30" s="297"/>
      <c r="Z30" s="297"/>
      <c r="AA30" s="207"/>
      <c r="AB30" s="207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7"/>
      <c r="AO30" s="207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7"/>
      <c r="BB30" s="207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7"/>
      <c r="BO30" s="207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7"/>
      <c r="CB30" s="207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7"/>
      <c r="CO30" s="207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7"/>
      <c r="DB30" s="207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7"/>
      <c r="DO30" s="207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7"/>
      <c r="EB30" s="207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7"/>
      <c r="EO30" s="207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7"/>
      <c r="FB30" s="207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7"/>
      <c r="FO30" s="207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7"/>
      <c r="GB30" s="207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7"/>
      <c r="GO30" s="207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7"/>
      <c r="HB30" s="207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7"/>
      <c r="HO30" s="207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7"/>
      <c r="IB30" s="207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7"/>
      <c r="IO30" s="207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8"/>
      <c r="B31" s="219"/>
      <c r="C31" s="291"/>
      <c r="D31" s="291"/>
      <c r="E31" s="291"/>
      <c r="F31" s="291"/>
      <c r="G31" s="291"/>
      <c r="H31" s="291"/>
      <c r="I31" s="291"/>
      <c r="J31" s="291"/>
      <c r="K31" s="291"/>
      <c r="L31" s="291"/>
      <c r="M31" s="292"/>
      <c r="N31" s="223"/>
      <c r="O31" s="223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9"/>
      <c r="AA31" s="218"/>
      <c r="AB31" s="219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2"/>
      <c r="AN31" s="218"/>
      <c r="AO31" s="219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2"/>
      <c r="BA31" s="218"/>
      <c r="BB31" s="219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2"/>
      <c r="BN31" s="218"/>
      <c r="BO31" s="219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2"/>
      <c r="CA31" s="218"/>
      <c r="CB31" s="219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2"/>
      <c r="CN31" s="218"/>
      <c r="CO31" s="219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2"/>
      <c r="DA31" s="218"/>
      <c r="DB31" s="219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2"/>
      <c r="DN31" s="218"/>
      <c r="DO31" s="219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2"/>
      <c r="EA31" s="218"/>
      <c r="EB31" s="219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2"/>
      <c r="EN31" s="218"/>
      <c r="EO31" s="219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2"/>
      <c r="FA31" s="218"/>
      <c r="FB31" s="219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2"/>
      <c r="FN31" s="218"/>
      <c r="FO31" s="219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2"/>
      <c r="GA31" s="218"/>
      <c r="GB31" s="219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2"/>
      <c r="GN31" s="218"/>
      <c r="GO31" s="219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2"/>
      <c r="HA31" s="218"/>
      <c r="HB31" s="219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2"/>
      <c r="HN31" s="218"/>
      <c r="HO31" s="219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2"/>
      <c r="IA31" s="218"/>
      <c r="IB31" s="219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2"/>
      <c r="IN31" s="218"/>
      <c r="IO31" s="219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91"/>
      <c r="D32" s="291"/>
      <c r="E32" s="291"/>
      <c r="F32" s="291"/>
      <c r="G32" s="291"/>
      <c r="H32" s="291"/>
      <c r="I32" s="291"/>
      <c r="J32" s="291"/>
      <c r="K32" s="291"/>
      <c r="L32" s="291"/>
      <c r="M32" s="292"/>
      <c r="N32" s="211"/>
      <c r="O32" s="211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07"/>
      <c r="AB32" s="207"/>
      <c r="AC32" s="212"/>
      <c r="AD32" s="212"/>
      <c r="AE32" s="212"/>
      <c r="AF32" s="212"/>
      <c r="AG32" s="212"/>
      <c r="AH32" s="212"/>
      <c r="AI32" s="212"/>
      <c r="AJ32" s="212"/>
      <c r="AK32" s="212"/>
      <c r="AL32" s="212"/>
      <c r="AM32" s="212"/>
      <c r="AN32" s="207"/>
      <c r="AO32" s="207"/>
      <c r="AP32" s="212"/>
      <c r="AQ32" s="212"/>
      <c r="AR32" s="212"/>
      <c r="AS32" s="212"/>
      <c r="AT32" s="212"/>
      <c r="AU32" s="212"/>
      <c r="AV32" s="212"/>
      <c r="AW32" s="212"/>
      <c r="AX32" s="212"/>
      <c r="AY32" s="212"/>
      <c r="AZ32" s="212"/>
      <c r="BA32" s="207"/>
      <c r="BB32" s="207"/>
      <c r="BC32" s="212"/>
      <c r="BD32" s="212"/>
      <c r="BE32" s="212"/>
      <c r="BF32" s="212"/>
      <c r="BG32" s="212"/>
      <c r="BH32" s="212"/>
      <c r="BI32" s="212"/>
      <c r="BJ32" s="212"/>
      <c r="BK32" s="212"/>
      <c r="BL32" s="212"/>
      <c r="BM32" s="212"/>
      <c r="BN32" s="207"/>
      <c r="BO32" s="207"/>
      <c r="BP32" s="212"/>
      <c r="BQ32" s="212"/>
      <c r="BR32" s="212"/>
      <c r="BS32" s="212"/>
      <c r="BT32" s="212"/>
      <c r="BU32" s="212"/>
      <c r="BV32" s="212"/>
      <c r="BW32" s="212"/>
      <c r="BX32" s="212"/>
      <c r="BY32" s="212"/>
      <c r="BZ32" s="212"/>
      <c r="CA32" s="207"/>
      <c r="CB32" s="207"/>
      <c r="CC32" s="212"/>
      <c r="CD32" s="212"/>
      <c r="CE32" s="212"/>
      <c r="CF32" s="212"/>
      <c r="CG32" s="212"/>
      <c r="CH32" s="212"/>
      <c r="CI32" s="212"/>
      <c r="CJ32" s="212"/>
      <c r="CK32" s="212"/>
      <c r="CL32" s="212"/>
      <c r="CM32" s="212"/>
      <c r="CN32" s="207"/>
      <c r="CO32" s="207"/>
      <c r="CP32" s="212"/>
      <c r="CQ32" s="212"/>
      <c r="CR32" s="212"/>
      <c r="CS32" s="212"/>
      <c r="CT32" s="212"/>
      <c r="CU32" s="212"/>
      <c r="CV32" s="212"/>
      <c r="CW32" s="212"/>
      <c r="CX32" s="212"/>
      <c r="CY32" s="212"/>
      <c r="CZ32" s="212"/>
      <c r="DA32" s="207"/>
      <c r="DB32" s="207"/>
      <c r="DC32" s="212"/>
      <c r="DD32" s="212"/>
      <c r="DE32" s="212"/>
      <c r="DF32" s="212"/>
      <c r="DG32" s="212"/>
      <c r="DH32" s="212"/>
      <c r="DI32" s="212"/>
      <c r="DJ32" s="212"/>
      <c r="DK32" s="212"/>
      <c r="DL32" s="212"/>
      <c r="DM32" s="212"/>
      <c r="DN32" s="207"/>
      <c r="DO32" s="207"/>
      <c r="DP32" s="212"/>
      <c r="DQ32" s="212"/>
      <c r="DR32" s="212"/>
      <c r="DS32" s="212"/>
      <c r="DT32" s="212"/>
      <c r="DU32" s="212"/>
      <c r="DV32" s="212"/>
      <c r="DW32" s="212"/>
      <c r="DX32" s="212"/>
      <c r="DY32" s="212"/>
      <c r="DZ32" s="212"/>
      <c r="EA32" s="207"/>
      <c r="EB32" s="207"/>
      <c r="EC32" s="212"/>
      <c r="ED32" s="212"/>
      <c r="EE32" s="212"/>
      <c r="EF32" s="212"/>
      <c r="EG32" s="212"/>
      <c r="EH32" s="212"/>
      <c r="EI32" s="212"/>
      <c r="EJ32" s="212"/>
      <c r="EK32" s="212"/>
      <c r="EL32" s="212"/>
      <c r="EM32" s="212"/>
      <c r="EN32" s="207"/>
      <c r="EO32" s="207"/>
      <c r="EP32" s="212"/>
      <c r="EQ32" s="212"/>
      <c r="ER32" s="212"/>
      <c r="ES32" s="212"/>
      <c r="ET32" s="212"/>
      <c r="EU32" s="212"/>
      <c r="EV32" s="212"/>
      <c r="EW32" s="212"/>
      <c r="EX32" s="212"/>
      <c r="EY32" s="212"/>
      <c r="EZ32" s="212"/>
      <c r="FA32" s="207"/>
      <c r="FB32" s="207"/>
      <c r="FC32" s="212"/>
      <c r="FD32" s="212"/>
      <c r="FE32" s="212"/>
      <c r="FF32" s="212"/>
      <c r="FG32" s="212"/>
      <c r="FH32" s="212"/>
      <c r="FI32" s="212"/>
      <c r="FJ32" s="212"/>
      <c r="FK32" s="212"/>
      <c r="FL32" s="212"/>
      <c r="FM32" s="212"/>
      <c r="FN32" s="207"/>
      <c r="FO32" s="207"/>
      <c r="FP32" s="212"/>
      <c r="FQ32" s="212"/>
      <c r="FR32" s="212"/>
      <c r="FS32" s="212"/>
      <c r="FT32" s="212"/>
      <c r="FU32" s="212"/>
      <c r="FV32" s="212"/>
      <c r="FW32" s="212"/>
      <c r="FX32" s="212"/>
      <c r="FY32" s="212"/>
      <c r="FZ32" s="212"/>
      <c r="GA32" s="207"/>
      <c r="GB32" s="207"/>
      <c r="GC32" s="212"/>
      <c r="GD32" s="212"/>
      <c r="GE32" s="212"/>
      <c r="GF32" s="212"/>
      <c r="GG32" s="212"/>
      <c r="GH32" s="212"/>
      <c r="GI32" s="212"/>
      <c r="GJ32" s="212"/>
      <c r="GK32" s="212"/>
      <c r="GL32" s="212"/>
      <c r="GM32" s="212"/>
      <c r="GN32" s="207"/>
      <c r="GO32" s="207"/>
      <c r="GP32" s="212"/>
      <c r="GQ32" s="212"/>
      <c r="GR32" s="212"/>
      <c r="GS32" s="212"/>
      <c r="GT32" s="212"/>
      <c r="GU32" s="212"/>
      <c r="GV32" s="212"/>
      <c r="GW32" s="212"/>
      <c r="GX32" s="212"/>
      <c r="GY32" s="212"/>
      <c r="GZ32" s="212"/>
      <c r="HA32" s="207"/>
      <c r="HB32" s="207"/>
      <c r="HC32" s="212"/>
      <c r="HD32" s="212"/>
      <c r="HE32" s="212"/>
      <c r="HF32" s="212"/>
      <c r="HG32" s="212"/>
      <c r="HH32" s="212"/>
      <c r="HI32" s="212"/>
      <c r="HJ32" s="212"/>
      <c r="HK32" s="212"/>
      <c r="HL32" s="212"/>
      <c r="HM32" s="212"/>
      <c r="HN32" s="207"/>
      <c r="HO32" s="207"/>
      <c r="HP32" s="212"/>
      <c r="HQ32" s="212"/>
      <c r="HR32" s="212"/>
      <c r="HS32" s="212"/>
      <c r="HT32" s="212"/>
      <c r="HU32" s="212"/>
      <c r="HV32" s="212"/>
      <c r="HW32" s="212"/>
      <c r="HX32" s="212"/>
      <c r="HY32" s="212"/>
      <c r="HZ32" s="212"/>
      <c r="IA32" s="207"/>
      <c r="IB32" s="207"/>
      <c r="IC32" s="212"/>
      <c r="ID32" s="212"/>
      <c r="IE32" s="212"/>
      <c r="IF32" s="212"/>
      <c r="IG32" s="212"/>
      <c r="IH32" s="212"/>
      <c r="II32" s="212"/>
      <c r="IJ32" s="212"/>
      <c r="IK32" s="212"/>
      <c r="IL32" s="212"/>
      <c r="IM32" s="212"/>
      <c r="IN32" s="207"/>
      <c r="IO32" s="207"/>
      <c r="IP32" s="212"/>
      <c r="IQ32" s="212"/>
      <c r="IR32" s="212"/>
      <c r="IS32" s="212"/>
      <c r="IT32" s="212"/>
      <c r="IU32" s="212"/>
      <c r="IV32" s="212"/>
    </row>
    <row r="33" spans="1:256" x14ac:dyDescent="0.2">
      <c r="A33" s="218"/>
      <c r="B33" s="219"/>
      <c r="C33" s="291"/>
      <c r="D33" s="291"/>
      <c r="E33" s="291"/>
      <c r="F33" s="291"/>
      <c r="G33" s="291"/>
      <c r="H33" s="291"/>
      <c r="I33" s="291"/>
      <c r="J33" s="291"/>
      <c r="K33" s="291"/>
      <c r="L33" s="291"/>
      <c r="M33" s="292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91"/>
      <c r="D34" s="291"/>
      <c r="E34" s="291"/>
      <c r="F34" s="291"/>
      <c r="G34" s="291"/>
      <c r="H34" s="291"/>
      <c r="I34" s="291"/>
      <c r="J34" s="291"/>
      <c r="K34" s="291"/>
      <c r="L34" s="291"/>
      <c r="M34" s="292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91"/>
      <c r="D35" s="291"/>
      <c r="E35" s="291"/>
      <c r="F35" s="291"/>
      <c r="G35" s="291"/>
      <c r="H35" s="291"/>
      <c r="I35" s="291"/>
      <c r="J35" s="291"/>
      <c r="K35" s="291"/>
      <c r="L35" s="291"/>
      <c r="M35" s="292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91"/>
      <c r="D36" s="291"/>
      <c r="E36" s="291"/>
      <c r="F36" s="291"/>
      <c r="G36" s="291"/>
      <c r="H36" s="291"/>
      <c r="I36" s="291"/>
      <c r="J36" s="291"/>
      <c r="K36" s="291"/>
      <c r="L36" s="291"/>
      <c r="M36" s="292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2"/>
      <c r="N37" s="211"/>
      <c r="O37" s="211"/>
      <c r="P37" s="297"/>
      <c r="Q37" s="297"/>
      <c r="R37" s="297"/>
      <c r="S37" s="297"/>
      <c r="T37" s="297"/>
      <c r="U37" s="297"/>
      <c r="V37" s="297"/>
      <c r="W37" s="297"/>
      <c r="X37" s="297"/>
      <c r="Y37" s="297"/>
      <c r="Z37" s="297"/>
      <c r="AA37" s="207"/>
      <c r="AB37" s="207"/>
      <c r="AC37" s="296"/>
      <c r="AD37" s="296"/>
      <c r="AE37" s="296"/>
      <c r="AF37" s="296"/>
      <c r="AG37" s="296"/>
      <c r="AH37" s="296"/>
      <c r="AI37" s="296"/>
      <c r="AJ37" s="296"/>
      <c r="AK37" s="296"/>
      <c r="AL37" s="296"/>
      <c r="AM37" s="296"/>
      <c r="AN37" s="207"/>
      <c r="AO37" s="207"/>
      <c r="AP37" s="296"/>
      <c r="AQ37" s="296"/>
      <c r="AR37" s="296"/>
      <c r="AS37" s="296"/>
      <c r="AT37" s="296"/>
      <c r="AU37" s="296"/>
      <c r="AV37" s="296"/>
      <c r="AW37" s="296"/>
      <c r="AX37" s="296"/>
      <c r="AY37" s="296"/>
      <c r="AZ37" s="296"/>
      <c r="BA37" s="207"/>
      <c r="BB37" s="207"/>
      <c r="BC37" s="296"/>
      <c r="BD37" s="296"/>
      <c r="BE37" s="296"/>
      <c r="BF37" s="296"/>
      <c r="BG37" s="296"/>
      <c r="BH37" s="296"/>
      <c r="BI37" s="296"/>
      <c r="BJ37" s="296"/>
      <c r="BK37" s="296"/>
      <c r="BL37" s="296"/>
      <c r="BM37" s="296"/>
      <c r="BN37" s="207"/>
      <c r="BO37" s="207"/>
      <c r="BP37" s="296"/>
      <c r="BQ37" s="296"/>
      <c r="BR37" s="296"/>
      <c r="BS37" s="296"/>
      <c r="BT37" s="296"/>
      <c r="BU37" s="296"/>
      <c r="BV37" s="296"/>
      <c r="BW37" s="296"/>
      <c r="BX37" s="296"/>
      <c r="BY37" s="296"/>
      <c r="BZ37" s="296"/>
      <c r="CA37" s="207"/>
      <c r="CB37" s="207"/>
      <c r="CC37" s="296"/>
      <c r="CD37" s="296"/>
      <c r="CE37" s="296"/>
      <c r="CF37" s="296"/>
      <c r="CG37" s="296"/>
      <c r="CH37" s="296"/>
      <c r="CI37" s="296"/>
      <c r="CJ37" s="296"/>
      <c r="CK37" s="296"/>
      <c r="CL37" s="296"/>
      <c r="CM37" s="296"/>
      <c r="CN37" s="207"/>
      <c r="CO37" s="207"/>
      <c r="CP37" s="296"/>
      <c r="CQ37" s="296"/>
      <c r="CR37" s="296"/>
      <c r="CS37" s="296"/>
      <c r="CT37" s="296"/>
      <c r="CU37" s="296"/>
      <c r="CV37" s="296"/>
      <c r="CW37" s="296"/>
      <c r="CX37" s="296"/>
      <c r="CY37" s="296"/>
      <c r="CZ37" s="296"/>
      <c r="DA37" s="207"/>
      <c r="DB37" s="207"/>
      <c r="DC37" s="296"/>
      <c r="DD37" s="296"/>
      <c r="DE37" s="296"/>
      <c r="DF37" s="296"/>
      <c r="DG37" s="296"/>
      <c r="DH37" s="296"/>
      <c r="DI37" s="296"/>
      <c r="DJ37" s="296"/>
      <c r="DK37" s="296"/>
      <c r="DL37" s="296"/>
      <c r="DM37" s="296"/>
      <c r="DN37" s="207"/>
      <c r="DO37" s="207"/>
      <c r="DP37" s="296"/>
      <c r="DQ37" s="296"/>
      <c r="DR37" s="296"/>
      <c r="DS37" s="296"/>
      <c r="DT37" s="296"/>
      <c r="DU37" s="296"/>
      <c r="DV37" s="296"/>
      <c r="DW37" s="296"/>
      <c r="DX37" s="296"/>
      <c r="DY37" s="296"/>
      <c r="DZ37" s="296"/>
      <c r="EA37" s="207"/>
      <c r="EB37" s="207"/>
      <c r="EC37" s="296"/>
      <c r="ED37" s="296"/>
      <c r="EE37" s="296"/>
      <c r="EF37" s="296"/>
      <c r="EG37" s="296"/>
      <c r="EH37" s="296"/>
      <c r="EI37" s="296"/>
      <c r="EJ37" s="296"/>
      <c r="EK37" s="296"/>
      <c r="EL37" s="296"/>
      <c r="EM37" s="296"/>
      <c r="EN37" s="207"/>
      <c r="EO37" s="207"/>
      <c r="EP37" s="296"/>
      <c r="EQ37" s="296"/>
      <c r="ER37" s="296"/>
      <c r="ES37" s="296"/>
      <c r="ET37" s="296"/>
      <c r="EU37" s="296"/>
      <c r="EV37" s="296"/>
      <c r="EW37" s="296"/>
      <c r="EX37" s="296"/>
      <c r="EY37" s="296"/>
      <c r="EZ37" s="296"/>
      <c r="FA37" s="207"/>
      <c r="FB37" s="207"/>
      <c r="FC37" s="296"/>
      <c r="FD37" s="296"/>
      <c r="FE37" s="296"/>
      <c r="FF37" s="296"/>
      <c r="FG37" s="296"/>
      <c r="FH37" s="296"/>
      <c r="FI37" s="296"/>
      <c r="FJ37" s="296"/>
      <c r="FK37" s="296"/>
      <c r="FL37" s="296"/>
      <c r="FM37" s="296"/>
      <c r="FN37" s="207"/>
      <c r="FO37" s="207"/>
      <c r="FP37" s="296"/>
      <c r="FQ37" s="296"/>
      <c r="FR37" s="296"/>
      <c r="FS37" s="296"/>
      <c r="FT37" s="296"/>
      <c r="FU37" s="296"/>
      <c r="FV37" s="296"/>
      <c r="FW37" s="296"/>
      <c r="FX37" s="296"/>
      <c r="FY37" s="296"/>
      <c r="FZ37" s="296"/>
      <c r="GA37" s="207"/>
      <c r="GB37" s="207"/>
      <c r="GC37" s="296"/>
      <c r="GD37" s="296"/>
      <c r="GE37" s="296"/>
      <c r="GF37" s="296"/>
      <c r="GG37" s="296"/>
      <c r="GH37" s="296"/>
      <c r="GI37" s="296"/>
      <c r="GJ37" s="296"/>
      <c r="GK37" s="296"/>
      <c r="GL37" s="296"/>
      <c r="GM37" s="296"/>
      <c r="GN37" s="207"/>
      <c r="GO37" s="207"/>
      <c r="GP37" s="296"/>
      <c r="GQ37" s="296"/>
      <c r="GR37" s="296"/>
      <c r="GS37" s="296"/>
      <c r="GT37" s="296"/>
      <c r="GU37" s="296"/>
      <c r="GV37" s="296"/>
      <c r="GW37" s="296"/>
      <c r="GX37" s="296"/>
      <c r="GY37" s="296"/>
      <c r="GZ37" s="296"/>
      <c r="HA37" s="207"/>
      <c r="HB37" s="207"/>
      <c r="HC37" s="296"/>
      <c r="HD37" s="296"/>
      <c r="HE37" s="296"/>
      <c r="HF37" s="296"/>
      <c r="HG37" s="296"/>
      <c r="HH37" s="296"/>
      <c r="HI37" s="296"/>
      <c r="HJ37" s="296"/>
      <c r="HK37" s="296"/>
      <c r="HL37" s="296"/>
      <c r="HM37" s="296"/>
      <c r="HN37" s="207"/>
      <c r="HO37" s="207"/>
      <c r="HP37" s="296"/>
      <c r="HQ37" s="296"/>
      <c r="HR37" s="296"/>
      <c r="HS37" s="296"/>
      <c r="HT37" s="296"/>
      <c r="HU37" s="296"/>
      <c r="HV37" s="296"/>
      <c r="HW37" s="296"/>
      <c r="HX37" s="296"/>
      <c r="HY37" s="296"/>
      <c r="HZ37" s="296"/>
      <c r="IA37" s="207"/>
      <c r="IB37" s="207"/>
      <c r="IC37" s="296"/>
      <c r="ID37" s="296"/>
      <c r="IE37" s="296"/>
      <c r="IF37" s="296"/>
      <c r="IG37" s="296"/>
      <c r="IH37" s="296"/>
      <c r="II37" s="296"/>
      <c r="IJ37" s="296"/>
      <c r="IK37" s="296"/>
      <c r="IL37" s="296"/>
      <c r="IM37" s="296"/>
      <c r="IN37" s="207"/>
      <c r="IO37" s="207"/>
      <c r="IP37" s="296"/>
      <c r="IQ37" s="296"/>
      <c r="IR37" s="296"/>
      <c r="IS37" s="296"/>
      <c r="IT37" s="296"/>
      <c r="IU37" s="296"/>
      <c r="IV37" s="296"/>
    </row>
    <row r="38" spans="1:256" x14ac:dyDescent="0.2">
      <c r="A38" s="218"/>
      <c r="B38" s="219"/>
      <c r="C38" s="291"/>
      <c r="D38" s="291"/>
      <c r="E38" s="291"/>
      <c r="F38" s="291"/>
      <c r="G38" s="291"/>
      <c r="H38" s="291"/>
      <c r="I38" s="291"/>
      <c r="J38" s="291"/>
      <c r="K38" s="291"/>
      <c r="L38" s="291"/>
      <c r="M38" s="292"/>
      <c r="N38" s="211"/>
      <c r="O38" s="211"/>
      <c r="P38" s="297"/>
      <c r="Q38" s="297"/>
      <c r="R38" s="297"/>
      <c r="S38" s="297"/>
      <c r="T38" s="297"/>
      <c r="U38" s="297"/>
      <c r="V38" s="297"/>
      <c r="W38" s="297"/>
      <c r="X38" s="297"/>
      <c r="Y38" s="297"/>
      <c r="Z38" s="297"/>
      <c r="AA38" s="207"/>
      <c r="AB38" s="207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7"/>
      <c r="AO38" s="207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7"/>
      <c r="BB38" s="207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7"/>
      <c r="BO38" s="207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7"/>
      <c r="CB38" s="207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7"/>
      <c r="CO38" s="207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7"/>
      <c r="DB38" s="207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7"/>
      <c r="DO38" s="207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7"/>
      <c r="EB38" s="207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7"/>
      <c r="EO38" s="207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7"/>
      <c r="FB38" s="207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7"/>
      <c r="FO38" s="207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7"/>
      <c r="GB38" s="207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7"/>
      <c r="GO38" s="207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7"/>
      <c r="HB38" s="207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7"/>
      <c r="HO38" s="207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7"/>
      <c r="IB38" s="207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7"/>
      <c r="IO38" s="207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8"/>
      <c r="B39" s="219"/>
      <c r="C39" s="291"/>
      <c r="D39" s="291"/>
      <c r="E39" s="291"/>
      <c r="F39" s="291"/>
      <c r="G39" s="291"/>
      <c r="H39" s="291"/>
      <c r="I39" s="291"/>
      <c r="J39" s="291"/>
      <c r="K39" s="291"/>
      <c r="L39" s="291"/>
      <c r="M39" s="292"/>
      <c r="N39" s="211"/>
      <c r="O39" s="211"/>
      <c r="P39" s="297"/>
      <c r="Q39" s="297"/>
      <c r="R39" s="297"/>
      <c r="S39" s="297"/>
      <c r="T39" s="297"/>
      <c r="U39" s="297"/>
      <c r="V39" s="297"/>
      <c r="W39" s="297"/>
      <c r="X39" s="297"/>
      <c r="Y39" s="297"/>
      <c r="Z39" s="297"/>
      <c r="AA39" s="207"/>
      <c r="AB39" s="207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7"/>
      <c r="AO39" s="207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7"/>
      <c r="BB39" s="207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7"/>
      <c r="BO39" s="207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7"/>
      <c r="CB39" s="207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7"/>
      <c r="CO39" s="207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7"/>
      <c r="DB39" s="207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7"/>
      <c r="DO39" s="207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7"/>
      <c r="EB39" s="207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7"/>
      <c r="EO39" s="207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7"/>
      <c r="FB39" s="207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7"/>
      <c r="FO39" s="207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7"/>
      <c r="GB39" s="207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7"/>
      <c r="GO39" s="207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7"/>
      <c r="HB39" s="207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7"/>
      <c r="HO39" s="207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7"/>
      <c r="IB39" s="207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7"/>
      <c r="IO39" s="207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8"/>
      <c r="B40" s="219"/>
      <c r="C40" s="291"/>
      <c r="D40" s="291"/>
      <c r="E40" s="291"/>
      <c r="F40" s="291"/>
      <c r="G40" s="291"/>
      <c r="H40" s="291"/>
      <c r="I40" s="291"/>
      <c r="J40" s="291"/>
      <c r="K40" s="291"/>
      <c r="L40" s="291"/>
      <c r="M40" s="292"/>
      <c r="N40" s="211"/>
      <c r="O40" s="211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07"/>
      <c r="AB40" s="207"/>
      <c r="AC40" s="212"/>
      <c r="AD40" s="212"/>
      <c r="AE40" s="212"/>
      <c r="AF40" s="212"/>
      <c r="AG40" s="212"/>
      <c r="AH40" s="212"/>
      <c r="AI40" s="212"/>
      <c r="AJ40" s="212"/>
      <c r="AK40" s="212"/>
      <c r="AL40" s="212"/>
      <c r="AM40" s="212"/>
      <c r="AN40" s="207"/>
      <c r="AO40" s="207"/>
      <c r="AP40" s="212"/>
      <c r="AQ40" s="212"/>
      <c r="AR40" s="212"/>
      <c r="AS40" s="212"/>
      <c r="AT40" s="212"/>
      <c r="AU40" s="212"/>
      <c r="AV40" s="212"/>
      <c r="AW40" s="212"/>
      <c r="AX40" s="212"/>
      <c r="AY40" s="212"/>
      <c r="AZ40" s="212"/>
      <c r="BA40" s="207"/>
      <c r="BB40" s="207"/>
      <c r="BC40" s="212"/>
      <c r="BD40" s="212"/>
      <c r="BE40" s="212"/>
      <c r="BF40" s="212"/>
      <c r="BG40" s="212"/>
      <c r="BH40" s="212"/>
      <c r="BI40" s="212"/>
      <c r="BJ40" s="212"/>
      <c r="BK40" s="212"/>
      <c r="BL40" s="212"/>
      <c r="BM40" s="212"/>
      <c r="BN40" s="207"/>
      <c r="BO40" s="207"/>
      <c r="BP40" s="212"/>
      <c r="BQ40" s="212"/>
      <c r="BR40" s="212"/>
      <c r="BS40" s="212"/>
      <c r="BT40" s="212"/>
      <c r="BU40" s="212"/>
      <c r="BV40" s="212"/>
      <c r="BW40" s="212"/>
      <c r="BX40" s="212"/>
      <c r="BY40" s="212"/>
      <c r="BZ40" s="212"/>
      <c r="CA40" s="207"/>
      <c r="CB40" s="207"/>
      <c r="CC40" s="212"/>
      <c r="CD40" s="212"/>
      <c r="CE40" s="212"/>
      <c r="CF40" s="212"/>
      <c r="CG40" s="212"/>
      <c r="CH40" s="212"/>
      <c r="CI40" s="212"/>
      <c r="CJ40" s="212"/>
      <c r="CK40" s="212"/>
      <c r="CL40" s="212"/>
      <c r="CM40" s="212"/>
      <c r="CN40" s="207"/>
      <c r="CO40" s="207"/>
      <c r="CP40" s="212"/>
      <c r="CQ40" s="212"/>
      <c r="CR40" s="212"/>
      <c r="CS40" s="212"/>
      <c r="CT40" s="212"/>
      <c r="CU40" s="212"/>
      <c r="CV40" s="212"/>
      <c r="CW40" s="212"/>
      <c r="CX40" s="212"/>
      <c r="CY40" s="212"/>
      <c r="CZ40" s="212"/>
      <c r="DA40" s="207"/>
      <c r="DB40" s="207"/>
      <c r="DC40" s="212"/>
      <c r="DD40" s="212"/>
      <c r="DE40" s="212"/>
      <c r="DF40" s="212"/>
      <c r="DG40" s="212"/>
      <c r="DH40" s="212"/>
      <c r="DI40" s="212"/>
      <c r="DJ40" s="212"/>
      <c r="DK40" s="212"/>
      <c r="DL40" s="212"/>
      <c r="DM40" s="212"/>
      <c r="DN40" s="207"/>
      <c r="DO40" s="207"/>
      <c r="DP40" s="212"/>
      <c r="DQ40" s="212"/>
      <c r="DR40" s="212"/>
      <c r="DS40" s="212"/>
      <c r="DT40" s="212"/>
      <c r="DU40" s="212"/>
      <c r="DV40" s="212"/>
      <c r="DW40" s="212"/>
      <c r="DX40" s="212"/>
      <c r="DY40" s="212"/>
      <c r="DZ40" s="212"/>
      <c r="EA40" s="207"/>
      <c r="EB40" s="207"/>
      <c r="EC40" s="212"/>
      <c r="ED40" s="212"/>
      <c r="EE40" s="212"/>
      <c r="EF40" s="212"/>
      <c r="EG40" s="212"/>
      <c r="EH40" s="212"/>
      <c r="EI40" s="212"/>
      <c r="EJ40" s="212"/>
      <c r="EK40" s="212"/>
      <c r="EL40" s="212"/>
      <c r="EM40" s="212"/>
      <c r="EN40" s="207"/>
      <c r="EO40" s="207"/>
      <c r="EP40" s="212"/>
      <c r="EQ40" s="212"/>
      <c r="ER40" s="212"/>
      <c r="ES40" s="212"/>
      <c r="ET40" s="212"/>
      <c r="EU40" s="212"/>
      <c r="EV40" s="212"/>
      <c r="EW40" s="212"/>
      <c r="EX40" s="212"/>
      <c r="EY40" s="212"/>
      <c r="EZ40" s="212"/>
      <c r="FA40" s="207"/>
      <c r="FB40" s="207"/>
      <c r="FC40" s="212"/>
      <c r="FD40" s="212"/>
      <c r="FE40" s="212"/>
      <c r="FF40" s="212"/>
      <c r="FG40" s="212"/>
      <c r="FH40" s="212"/>
      <c r="FI40" s="212"/>
      <c r="FJ40" s="212"/>
      <c r="FK40" s="212"/>
      <c r="FL40" s="212"/>
      <c r="FM40" s="212"/>
      <c r="FN40" s="207"/>
      <c r="FO40" s="207"/>
      <c r="FP40" s="212"/>
      <c r="FQ40" s="212"/>
      <c r="FR40" s="212"/>
      <c r="FS40" s="212"/>
      <c r="FT40" s="212"/>
      <c r="FU40" s="212"/>
      <c r="FV40" s="212"/>
      <c r="FW40" s="212"/>
      <c r="FX40" s="212"/>
      <c r="FY40" s="212"/>
      <c r="FZ40" s="212"/>
      <c r="GA40" s="207"/>
      <c r="GB40" s="207"/>
      <c r="GC40" s="212"/>
      <c r="GD40" s="212"/>
      <c r="GE40" s="212"/>
      <c r="GF40" s="212"/>
      <c r="GG40" s="212"/>
      <c r="GH40" s="212"/>
      <c r="GI40" s="212"/>
      <c r="GJ40" s="212"/>
      <c r="GK40" s="212"/>
      <c r="GL40" s="212"/>
      <c r="GM40" s="212"/>
      <c r="GN40" s="207"/>
      <c r="GO40" s="207"/>
      <c r="GP40" s="212"/>
      <c r="GQ40" s="212"/>
      <c r="GR40" s="212"/>
      <c r="GS40" s="212"/>
      <c r="GT40" s="212"/>
      <c r="GU40" s="212"/>
      <c r="GV40" s="212"/>
      <c r="GW40" s="212"/>
      <c r="GX40" s="212"/>
      <c r="GY40" s="212"/>
      <c r="GZ40" s="212"/>
      <c r="HA40" s="207"/>
      <c r="HB40" s="207"/>
      <c r="HC40" s="212"/>
      <c r="HD40" s="212"/>
      <c r="HE40" s="212"/>
      <c r="HF40" s="212"/>
      <c r="HG40" s="212"/>
      <c r="HH40" s="212"/>
      <c r="HI40" s="212"/>
      <c r="HJ40" s="212"/>
      <c r="HK40" s="212"/>
      <c r="HL40" s="212"/>
      <c r="HM40" s="212"/>
      <c r="HN40" s="207"/>
      <c r="HO40" s="207"/>
      <c r="HP40" s="212"/>
      <c r="HQ40" s="212"/>
      <c r="HR40" s="212"/>
      <c r="HS40" s="212"/>
      <c r="HT40" s="212"/>
      <c r="HU40" s="212"/>
      <c r="HV40" s="212"/>
      <c r="HW40" s="212"/>
      <c r="HX40" s="212"/>
      <c r="HY40" s="212"/>
      <c r="HZ40" s="212"/>
      <c r="IA40" s="207"/>
      <c r="IB40" s="207"/>
      <c r="IC40" s="212"/>
      <c r="ID40" s="212"/>
      <c r="IE40" s="212"/>
      <c r="IF40" s="212"/>
      <c r="IG40" s="212"/>
      <c r="IH40" s="212"/>
      <c r="II40" s="212"/>
      <c r="IJ40" s="212"/>
      <c r="IK40" s="212"/>
      <c r="IL40" s="212"/>
      <c r="IM40" s="212"/>
      <c r="IN40" s="207"/>
      <c r="IO40" s="207"/>
      <c r="IP40" s="212"/>
      <c r="IQ40" s="212"/>
      <c r="IR40" s="212"/>
      <c r="IS40" s="212"/>
      <c r="IT40" s="212"/>
      <c r="IU40" s="212"/>
      <c r="IV40" s="212"/>
    </row>
    <row r="41" spans="1:256" x14ac:dyDescent="0.2">
      <c r="A41" s="218"/>
      <c r="B41" s="219"/>
      <c r="C41" s="291"/>
      <c r="D41" s="291"/>
      <c r="E41" s="291"/>
      <c r="F41" s="291"/>
      <c r="G41" s="291"/>
      <c r="H41" s="291"/>
      <c r="I41" s="291"/>
      <c r="J41" s="291"/>
      <c r="K41" s="291"/>
      <c r="L41" s="291"/>
      <c r="M41" s="292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91"/>
      <c r="D42" s="291"/>
      <c r="E42" s="291"/>
      <c r="F42" s="291"/>
      <c r="G42" s="291"/>
      <c r="H42" s="291"/>
      <c r="I42" s="291"/>
      <c r="J42" s="291"/>
      <c r="K42" s="291"/>
      <c r="L42" s="291"/>
      <c r="M42" s="292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91"/>
      <c r="D43" s="291"/>
      <c r="E43" s="291"/>
      <c r="F43" s="291"/>
      <c r="G43" s="291"/>
      <c r="H43" s="291"/>
      <c r="I43" s="291"/>
      <c r="J43" s="291"/>
      <c r="K43" s="291"/>
      <c r="L43" s="291"/>
      <c r="M43" s="292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91"/>
      <c r="D44" s="291"/>
      <c r="E44" s="291"/>
      <c r="F44" s="291"/>
      <c r="G44" s="291"/>
      <c r="H44" s="291"/>
      <c r="I44" s="291"/>
      <c r="J44" s="291"/>
      <c r="K44" s="291"/>
      <c r="L44" s="291"/>
      <c r="M44" s="292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91"/>
      <c r="D45" s="291"/>
      <c r="E45" s="291"/>
      <c r="F45" s="291"/>
      <c r="G45" s="291"/>
      <c r="H45" s="291"/>
      <c r="I45" s="291"/>
      <c r="J45" s="291"/>
      <c r="K45" s="291"/>
      <c r="L45" s="291"/>
      <c r="M45" s="292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2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91"/>
      <c r="D47" s="291"/>
      <c r="E47" s="291"/>
      <c r="F47" s="291"/>
      <c r="G47" s="291"/>
      <c r="H47" s="291"/>
      <c r="I47" s="291"/>
      <c r="J47" s="291"/>
      <c r="K47" s="291"/>
      <c r="L47" s="291"/>
      <c r="M47" s="292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91"/>
      <c r="D48" s="291"/>
      <c r="E48" s="291"/>
      <c r="F48" s="291"/>
      <c r="G48" s="291"/>
      <c r="H48" s="291"/>
      <c r="I48" s="291"/>
      <c r="J48" s="291"/>
      <c r="K48" s="291"/>
      <c r="L48" s="291"/>
      <c r="M48" s="292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6" x14ac:dyDescent="0.2">
      <c r="A49" s="218"/>
      <c r="B49" s="219"/>
      <c r="C49" s="291"/>
      <c r="D49" s="291"/>
      <c r="E49" s="291"/>
      <c r="F49" s="291"/>
      <c r="G49" s="291"/>
      <c r="H49" s="291"/>
      <c r="I49" s="291"/>
      <c r="J49" s="291"/>
      <c r="K49" s="291"/>
      <c r="L49" s="291"/>
      <c r="M49" s="292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x14ac:dyDescent="0.2">
      <c r="A50" s="218"/>
      <c r="B50" s="219"/>
      <c r="C50" s="291"/>
      <c r="D50" s="291"/>
      <c r="E50" s="291"/>
      <c r="F50" s="291"/>
      <c r="G50" s="291"/>
      <c r="H50" s="291"/>
      <c r="I50" s="291"/>
      <c r="J50" s="291"/>
      <c r="K50" s="291"/>
      <c r="L50" s="291"/>
      <c r="M50" s="29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x14ac:dyDescent="0.2">
      <c r="A51" s="218"/>
      <c r="B51" s="219"/>
      <c r="C51" s="291"/>
      <c r="D51" s="291"/>
      <c r="E51" s="291"/>
      <c r="F51" s="291"/>
      <c r="G51" s="291"/>
      <c r="H51" s="291"/>
      <c r="I51" s="291"/>
      <c r="J51" s="291"/>
      <c r="K51" s="291"/>
      <c r="L51" s="291"/>
      <c r="M51" s="29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x14ac:dyDescent="0.2">
      <c r="A52" s="218"/>
      <c r="B52" s="219"/>
      <c r="C52" s="291"/>
      <c r="D52" s="291"/>
      <c r="E52" s="291"/>
      <c r="F52" s="291"/>
      <c r="G52" s="291"/>
      <c r="H52" s="291"/>
      <c r="I52" s="291"/>
      <c r="J52" s="291"/>
      <c r="K52" s="291"/>
      <c r="L52" s="291"/>
      <c r="M52" s="29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x14ac:dyDescent="0.2">
      <c r="A53" s="218"/>
      <c r="B53" s="219"/>
      <c r="C53" s="291"/>
      <c r="D53" s="291"/>
      <c r="E53" s="291"/>
      <c r="F53" s="291"/>
      <c r="G53" s="291"/>
      <c r="H53" s="291"/>
      <c r="I53" s="291"/>
      <c r="J53" s="291"/>
      <c r="K53" s="291"/>
      <c r="L53" s="291"/>
      <c r="M53" s="29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x14ac:dyDescent="0.2">
      <c r="A54" s="218"/>
      <c r="B54" s="219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x14ac:dyDescent="0.2">
      <c r="A55" s="218"/>
      <c r="B55" s="219"/>
      <c r="C55" s="291"/>
      <c r="D55" s="291"/>
      <c r="E55" s="291"/>
      <c r="F55" s="291"/>
      <c r="G55" s="291"/>
      <c r="H55" s="291"/>
      <c r="I55" s="291"/>
      <c r="J55" s="291"/>
      <c r="K55" s="291"/>
      <c r="L55" s="291"/>
      <c r="M55" s="29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x14ac:dyDescent="0.2">
      <c r="A56" s="218"/>
      <c r="B56" s="219"/>
      <c r="C56" s="291"/>
      <c r="D56" s="291"/>
      <c r="E56" s="291"/>
      <c r="F56" s="291"/>
      <c r="G56" s="291"/>
      <c r="H56" s="291"/>
      <c r="I56" s="291"/>
      <c r="J56" s="291"/>
      <c r="K56" s="291"/>
      <c r="L56" s="291"/>
      <c r="M56" s="29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x14ac:dyDescent="0.2">
      <c r="A57" s="218"/>
      <c r="B57" s="219"/>
      <c r="C57" s="291"/>
      <c r="D57" s="291"/>
      <c r="E57" s="291"/>
      <c r="F57" s="291"/>
      <c r="G57" s="291"/>
      <c r="H57" s="291"/>
      <c r="I57" s="291"/>
      <c r="J57" s="291"/>
      <c r="K57" s="291"/>
      <c r="L57" s="291"/>
      <c r="M57" s="29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x14ac:dyDescent="0.2">
      <c r="A58" s="218"/>
      <c r="B58" s="219"/>
      <c r="C58" s="291"/>
      <c r="D58" s="291"/>
      <c r="E58" s="291"/>
      <c r="F58" s="291"/>
      <c r="G58" s="291"/>
      <c r="H58" s="291"/>
      <c r="I58" s="291"/>
      <c r="J58" s="291"/>
      <c r="K58" s="291"/>
      <c r="L58" s="291"/>
      <c r="M58" s="292"/>
    </row>
    <row r="59" spans="1:26" x14ac:dyDescent="0.2">
      <c r="A59" s="218"/>
      <c r="B59" s="219"/>
      <c r="C59" s="291"/>
      <c r="D59" s="291"/>
      <c r="E59" s="291"/>
      <c r="F59" s="291"/>
      <c r="G59" s="291"/>
      <c r="H59" s="291"/>
      <c r="I59" s="291"/>
      <c r="J59" s="291"/>
      <c r="K59" s="291"/>
      <c r="L59" s="291"/>
      <c r="M59" s="292"/>
    </row>
    <row r="60" spans="1:26" x14ac:dyDescent="0.2">
      <c r="A60" s="218"/>
      <c r="B60" s="219"/>
      <c r="C60" s="291"/>
      <c r="D60" s="291"/>
      <c r="E60" s="291"/>
      <c r="F60" s="291"/>
      <c r="G60" s="291"/>
      <c r="H60" s="291"/>
      <c r="I60" s="291"/>
      <c r="J60" s="291"/>
      <c r="K60" s="291"/>
      <c r="L60" s="291"/>
      <c r="M60" s="292"/>
    </row>
    <row r="61" spans="1:26" x14ac:dyDescent="0.2">
      <c r="A61" s="218"/>
      <c r="B61" s="219"/>
      <c r="C61" s="291"/>
      <c r="D61" s="291"/>
      <c r="E61" s="291"/>
      <c r="F61" s="291"/>
      <c r="G61" s="291"/>
      <c r="H61" s="291"/>
      <c r="I61" s="291"/>
      <c r="J61" s="291"/>
      <c r="K61" s="291"/>
      <c r="L61" s="291"/>
      <c r="M61" s="292"/>
    </row>
    <row r="62" spans="1:26" x14ac:dyDescent="0.2">
      <c r="A62" s="218"/>
      <c r="B62" s="219"/>
      <c r="C62" s="291"/>
      <c r="D62" s="291"/>
      <c r="E62" s="291"/>
      <c r="F62" s="291"/>
      <c r="G62" s="291"/>
      <c r="H62" s="291"/>
      <c r="I62" s="291"/>
      <c r="J62" s="291"/>
      <c r="K62" s="291"/>
      <c r="L62" s="291"/>
      <c r="M62" s="292"/>
    </row>
    <row r="63" spans="1:26" x14ac:dyDescent="0.2">
      <c r="A63" s="218"/>
      <c r="B63" s="219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2"/>
    </row>
    <row r="64" spans="1:26" x14ac:dyDescent="0.2">
      <c r="A64" s="218"/>
      <c r="B64" s="219"/>
      <c r="C64" s="291"/>
      <c r="D64" s="291"/>
      <c r="E64" s="291"/>
      <c r="F64" s="291"/>
      <c r="G64" s="291"/>
      <c r="H64" s="291"/>
      <c r="I64" s="291"/>
      <c r="J64" s="291"/>
      <c r="K64" s="291"/>
      <c r="L64" s="291"/>
      <c r="M64" s="292"/>
    </row>
    <row r="65" spans="1:13" x14ac:dyDescent="0.2">
      <c r="A65" s="218"/>
      <c r="B65" s="219"/>
      <c r="C65" s="291"/>
      <c r="D65" s="291"/>
      <c r="E65" s="291"/>
      <c r="F65" s="291"/>
      <c r="G65" s="291"/>
      <c r="H65" s="291"/>
      <c r="I65" s="291"/>
      <c r="J65" s="291"/>
      <c r="K65" s="291"/>
      <c r="L65" s="291"/>
      <c r="M65" s="292"/>
    </row>
    <row r="66" spans="1:13" x14ac:dyDescent="0.2">
      <c r="A66" s="218"/>
      <c r="B66" s="219"/>
      <c r="C66" s="291"/>
      <c r="D66" s="291"/>
      <c r="E66" s="291"/>
      <c r="F66" s="291"/>
      <c r="G66" s="291"/>
      <c r="H66" s="291"/>
      <c r="I66" s="291"/>
      <c r="J66" s="291"/>
      <c r="K66" s="291"/>
      <c r="L66" s="291"/>
      <c r="M66" s="292"/>
    </row>
    <row r="67" spans="1:13" x14ac:dyDescent="0.2">
      <c r="A67" s="218"/>
      <c r="B67" s="219"/>
      <c r="C67" s="291"/>
      <c r="D67" s="291"/>
      <c r="E67" s="291"/>
      <c r="F67" s="291"/>
      <c r="G67" s="291"/>
      <c r="H67" s="291"/>
      <c r="I67" s="291"/>
      <c r="J67" s="291"/>
      <c r="K67" s="291"/>
      <c r="L67" s="291"/>
      <c r="M67" s="292"/>
    </row>
    <row r="68" spans="1:13" x14ac:dyDescent="0.2">
      <c r="A68" s="218"/>
      <c r="B68" s="219"/>
      <c r="C68" s="291"/>
      <c r="D68" s="291"/>
      <c r="E68" s="291"/>
      <c r="F68" s="291"/>
      <c r="G68" s="291"/>
      <c r="H68" s="291"/>
      <c r="I68" s="291"/>
      <c r="J68" s="291"/>
      <c r="K68" s="291"/>
      <c r="L68" s="291"/>
      <c r="M68" s="292"/>
    </row>
    <row r="69" spans="1:13" ht="12" thickBot="1" x14ac:dyDescent="0.25">
      <c r="A69" s="220"/>
      <c r="B69" s="221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4"/>
    </row>
    <row r="70" spans="1:13" ht="12" thickTop="1" x14ac:dyDescent="0.2">
      <c r="A70" s="208"/>
      <c r="B70" s="208"/>
      <c r="C70" s="209"/>
      <c r="D70" s="209"/>
      <c r="E70" s="209"/>
      <c r="F70" s="209"/>
      <c r="G70" s="209"/>
      <c r="H70" s="209"/>
      <c r="I70" s="209"/>
      <c r="J70" s="209"/>
      <c r="K70" s="209"/>
      <c r="L70" s="209"/>
    </row>
    <row r="71" spans="1:13" ht="12.75" x14ac:dyDescent="0.2">
      <c r="A71" s="295" t="s">
        <v>848</v>
      </c>
      <c r="B71" s="295"/>
      <c r="C71" s="295"/>
      <c r="D71" s="295"/>
      <c r="E71" s="295"/>
      <c r="F71" s="126"/>
      <c r="G71" s="126"/>
      <c r="H71" s="126"/>
      <c r="I71" s="126"/>
      <c r="J71" s="126"/>
      <c r="K71" s="126"/>
      <c r="L71" s="126"/>
      <c r="M71" s="126"/>
    </row>
    <row r="72" spans="1:13" x14ac:dyDescent="0.2">
      <c r="A72" s="210" t="s">
        <v>768</v>
      </c>
      <c r="B72" s="210" t="s">
        <v>769</v>
      </c>
      <c r="C72" s="290"/>
      <c r="D72" s="290"/>
      <c r="E72" s="290"/>
      <c r="F72" s="290"/>
      <c r="G72" s="290"/>
      <c r="H72" s="290"/>
      <c r="I72" s="290"/>
      <c r="J72" s="290"/>
      <c r="K72" s="290"/>
      <c r="L72" s="290"/>
      <c r="M72" s="290"/>
    </row>
    <row r="73" spans="1:13" x14ac:dyDescent="0.2">
      <c r="A73" s="211"/>
      <c r="B73" s="211"/>
      <c r="C73" s="290"/>
      <c r="D73" s="290"/>
      <c r="E73" s="290"/>
      <c r="F73" s="290"/>
      <c r="G73" s="290"/>
      <c r="H73" s="290"/>
      <c r="I73" s="290"/>
      <c r="J73" s="290"/>
      <c r="K73" s="290"/>
      <c r="L73" s="290"/>
      <c r="M73" s="290"/>
    </row>
    <row r="74" spans="1:13" x14ac:dyDescent="0.2">
      <c r="A74" s="211"/>
      <c r="B74" s="211"/>
      <c r="C74" s="290"/>
      <c r="D74" s="290"/>
      <c r="E74" s="290"/>
      <c r="F74" s="290"/>
      <c r="G74" s="290"/>
      <c r="H74" s="290"/>
      <c r="I74" s="290"/>
      <c r="J74" s="290"/>
      <c r="K74" s="290"/>
      <c r="L74" s="290"/>
      <c r="M74" s="290"/>
    </row>
    <row r="75" spans="1:13" x14ac:dyDescent="0.2">
      <c r="A75" s="211"/>
      <c r="B75" s="211"/>
      <c r="C75" s="290"/>
      <c r="D75" s="290"/>
      <c r="E75" s="290"/>
      <c r="F75" s="290"/>
      <c r="G75" s="290"/>
      <c r="H75" s="290"/>
      <c r="I75" s="290"/>
      <c r="J75" s="290"/>
      <c r="K75" s="290"/>
      <c r="L75" s="290"/>
      <c r="M75" s="290"/>
    </row>
    <row r="76" spans="1:13" x14ac:dyDescent="0.2">
      <c r="A76" s="211"/>
      <c r="B76" s="211"/>
      <c r="C76" s="290"/>
      <c r="D76" s="290"/>
      <c r="E76" s="290"/>
      <c r="F76" s="290"/>
      <c r="G76" s="290"/>
      <c r="H76" s="290"/>
      <c r="I76" s="290"/>
      <c r="J76" s="290"/>
      <c r="K76" s="290"/>
      <c r="L76" s="290"/>
      <c r="M76" s="290"/>
    </row>
    <row r="77" spans="1:13" x14ac:dyDescent="0.2">
      <c r="A77" s="211"/>
      <c r="B77" s="211"/>
      <c r="C77" s="290"/>
      <c r="D77" s="290"/>
      <c r="E77" s="290"/>
      <c r="F77" s="290"/>
      <c r="G77" s="290"/>
      <c r="H77" s="290"/>
      <c r="I77" s="290"/>
      <c r="J77" s="290"/>
      <c r="K77" s="290"/>
      <c r="L77" s="290"/>
      <c r="M77" s="290"/>
    </row>
    <row r="78" spans="1:13" x14ac:dyDescent="0.2">
      <c r="A78" s="211"/>
      <c r="B78" s="211"/>
      <c r="C78" s="290"/>
      <c r="D78" s="290"/>
      <c r="E78" s="290"/>
      <c r="F78" s="290"/>
      <c r="G78" s="290"/>
      <c r="H78" s="290"/>
      <c r="I78" s="290"/>
      <c r="J78" s="290"/>
      <c r="K78" s="290"/>
      <c r="L78" s="290"/>
      <c r="M78" s="290"/>
    </row>
    <row r="79" spans="1:13" x14ac:dyDescent="0.2">
      <c r="A79" s="211"/>
      <c r="B79" s="211"/>
      <c r="C79" s="290"/>
      <c r="D79" s="290"/>
      <c r="E79" s="290"/>
      <c r="F79" s="290"/>
      <c r="G79" s="290"/>
      <c r="H79" s="290"/>
      <c r="I79" s="290"/>
      <c r="J79" s="290"/>
      <c r="K79" s="290"/>
      <c r="L79" s="290"/>
      <c r="M79" s="290"/>
    </row>
    <row r="80" spans="1:13" x14ac:dyDescent="0.2">
      <c r="A80" s="211"/>
      <c r="B80" s="211"/>
      <c r="C80" s="290"/>
      <c r="D80" s="290"/>
      <c r="E80" s="290"/>
      <c r="F80" s="290"/>
      <c r="G80" s="290"/>
      <c r="H80" s="290"/>
      <c r="I80" s="290"/>
      <c r="J80" s="290"/>
      <c r="K80" s="290"/>
      <c r="L80" s="290"/>
      <c r="M80" s="290"/>
    </row>
    <row r="81" spans="1:13" x14ac:dyDescent="0.2">
      <c r="A81" s="211"/>
      <c r="B81" s="211"/>
      <c r="C81" s="290"/>
      <c r="D81" s="290"/>
      <c r="E81" s="290"/>
      <c r="F81" s="290"/>
      <c r="G81" s="290"/>
      <c r="H81" s="290"/>
      <c r="I81" s="290"/>
      <c r="J81" s="290"/>
      <c r="K81" s="290"/>
      <c r="L81" s="290"/>
      <c r="M81" s="290"/>
    </row>
    <row r="82" spans="1:13" x14ac:dyDescent="0.2">
      <c r="A82" s="211"/>
      <c r="B82" s="211"/>
      <c r="C82" s="290"/>
      <c r="D82" s="290"/>
      <c r="E82" s="290"/>
      <c r="F82" s="290"/>
      <c r="G82" s="290"/>
      <c r="H82" s="290"/>
      <c r="I82" s="290"/>
      <c r="J82" s="290"/>
      <c r="K82" s="290"/>
      <c r="L82" s="290"/>
      <c r="M82" s="290"/>
    </row>
    <row r="83" spans="1:13" x14ac:dyDescent="0.2">
      <c r="A83" s="211"/>
      <c r="B83" s="211"/>
      <c r="C83" s="290"/>
      <c r="D83" s="290"/>
      <c r="E83" s="290"/>
      <c r="F83" s="290"/>
      <c r="G83" s="290"/>
      <c r="H83" s="290"/>
      <c r="I83" s="290"/>
      <c r="J83" s="290"/>
      <c r="K83" s="290"/>
      <c r="L83" s="290"/>
      <c r="M83" s="290"/>
    </row>
    <row r="84" spans="1:13" x14ac:dyDescent="0.2">
      <c r="A84" s="211"/>
      <c r="B84" s="211"/>
      <c r="C84" s="290"/>
      <c r="D84" s="290"/>
      <c r="E84" s="290"/>
      <c r="F84" s="290"/>
      <c r="G84" s="290"/>
      <c r="H84" s="290"/>
      <c r="I84" s="290"/>
      <c r="J84" s="290"/>
      <c r="K84" s="290"/>
      <c r="L84" s="290"/>
      <c r="M84" s="290"/>
    </row>
    <row r="85" spans="1:13" x14ac:dyDescent="0.2">
      <c r="A85" s="211"/>
      <c r="B85" s="211"/>
      <c r="C85" s="290"/>
      <c r="D85" s="290"/>
      <c r="E85" s="290"/>
      <c r="F85" s="290"/>
      <c r="G85" s="290"/>
      <c r="H85" s="290"/>
      <c r="I85" s="290"/>
      <c r="J85" s="290"/>
      <c r="K85" s="290"/>
      <c r="L85" s="290"/>
      <c r="M85" s="290"/>
    </row>
    <row r="86" spans="1:13" x14ac:dyDescent="0.2">
      <c r="A86" s="211"/>
      <c r="B86" s="211"/>
      <c r="C86" s="290"/>
      <c r="D86" s="290"/>
      <c r="E86" s="290"/>
      <c r="F86" s="290"/>
      <c r="G86" s="290"/>
      <c r="H86" s="290"/>
      <c r="I86" s="290"/>
      <c r="J86" s="290"/>
      <c r="K86" s="290"/>
      <c r="L86" s="290"/>
      <c r="M86" s="290"/>
    </row>
    <row r="87" spans="1:13" x14ac:dyDescent="0.2">
      <c r="A87" s="211"/>
      <c r="B87" s="211"/>
      <c r="C87" s="290"/>
      <c r="D87" s="290"/>
      <c r="E87" s="290"/>
      <c r="F87" s="290"/>
      <c r="G87" s="290"/>
      <c r="H87" s="290"/>
      <c r="I87" s="290"/>
      <c r="J87" s="290"/>
      <c r="K87" s="290"/>
      <c r="L87" s="290"/>
      <c r="M87" s="290"/>
    </row>
    <row r="88" spans="1:13" x14ac:dyDescent="0.2">
      <c r="A88" s="211"/>
      <c r="B88" s="211"/>
      <c r="C88" s="290"/>
      <c r="D88" s="290"/>
      <c r="E88" s="290"/>
      <c r="F88" s="290"/>
      <c r="G88" s="290"/>
      <c r="H88" s="290"/>
      <c r="I88" s="290"/>
      <c r="J88" s="290"/>
      <c r="K88" s="290"/>
      <c r="L88" s="290"/>
      <c r="M88" s="290"/>
    </row>
    <row r="89" spans="1:13" x14ac:dyDescent="0.2">
      <c r="A89" s="211"/>
      <c r="B89" s="211"/>
      <c r="C89" s="290"/>
      <c r="D89" s="290"/>
      <c r="E89" s="290"/>
      <c r="F89" s="290"/>
      <c r="G89" s="290"/>
      <c r="H89" s="290"/>
      <c r="I89" s="290"/>
      <c r="J89" s="290"/>
      <c r="K89" s="290"/>
      <c r="L89" s="290"/>
      <c r="M89" s="290"/>
    </row>
  </sheetData>
  <mergeCells count="216">
    <mergeCell ref="FP38:FZ38"/>
    <mergeCell ref="GP38:GZ38"/>
    <mergeCell ref="P39:Z39"/>
    <mergeCell ref="AC39:AM39"/>
    <mergeCell ref="IP39:IV39"/>
    <mergeCell ref="C44:M44"/>
    <mergeCell ref="C45:M45"/>
    <mergeCell ref="GC39:GM39"/>
    <mergeCell ref="GP39:GZ39"/>
    <mergeCell ref="HC39:HM39"/>
    <mergeCell ref="HP39:HZ39"/>
    <mergeCell ref="EC39:EM39"/>
    <mergeCell ref="C43:M43"/>
    <mergeCell ref="DP39:DZ39"/>
    <mergeCell ref="IC39:IM39"/>
    <mergeCell ref="C42:M42"/>
    <mergeCell ref="BC39:BM39"/>
    <mergeCell ref="BP39:BZ39"/>
    <mergeCell ref="FC39:FM39"/>
    <mergeCell ref="FP39:FZ39"/>
    <mergeCell ref="CC39:CM39"/>
    <mergeCell ref="CP39:CZ39"/>
    <mergeCell ref="DC39:DM39"/>
    <mergeCell ref="EP39:EZ39"/>
    <mergeCell ref="P37:Z37"/>
    <mergeCell ref="AC37:AM37"/>
    <mergeCell ref="AP37:AZ37"/>
    <mergeCell ref="HP37:HZ37"/>
    <mergeCell ref="IC37:IM37"/>
    <mergeCell ref="IP37:IV37"/>
    <mergeCell ref="CP37:CZ37"/>
    <mergeCell ref="BC37:BM37"/>
    <mergeCell ref="P38:Z38"/>
    <mergeCell ref="AC38:AM38"/>
    <mergeCell ref="AP38:AZ38"/>
    <mergeCell ref="HP38:HZ38"/>
    <mergeCell ref="IC38:IM38"/>
    <mergeCell ref="BP38:BZ38"/>
    <mergeCell ref="CC38:CM38"/>
    <mergeCell ref="CP38:CZ38"/>
    <mergeCell ref="HC38:HM38"/>
    <mergeCell ref="DC38:DM38"/>
    <mergeCell ref="DP38:DZ38"/>
    <mergeCell ref="EC38:EM38"/>
    <mergeCell ref="GC38:GM38"/>
    <mergeCell ref="IP38:IV38"/>
    <mergeCell ref="EP38:EZ38"/>
    <mergeCell ref="FC38:FM38"/>
    <mergeCell ref="IC31:IM31"/>
    <mergeCell ref="IP31:IV31"/>
    <mergeCell ref="EP37:EZ37"/>
    <mergeCell ref="FC37:FM37"/>
    <mergeCell ref="FP37:FZ37"/>
    <mergeCell ref="GC37:GM37"/>
    <mergeCell ref="GP37:GZ37"/>
    <mergeCell ref="HC37:HM37"/>
    <mergeCell ref="HC31:HM31"/>
    <mergeCell ref="DP31:DZ31"/>
    <mergeCell ref="EC31:EM31"/>
    <mergeCell ref="EP31:EZ31"/>
    <mergeCell ref="FC31:FM31"/>
    <mergeCell ref="AC31:AM31"/>
    <mergeCell ref="AP31:AZ31"/>
    <mergeCell ref="HP30:HZ30"/>
    <mergeCell ref="HP29:HZ29"/>
    <mergeCell ref="FC29:FM29"/>
    <mergeCell ref="FP29:FZ29"/>
    <mergeCell ref="FC30:FM30"/>
    <mergeCell ref="FP30:FZ30"/>
    <mergeCell ref="GC30:GM30"/>
    <mergeCell ref="GP30:GZ30"/>
    <mergeCell ref="HC30:HM30"/>
    <mergeCell ref="BP31:BZ31"/>
    <mergeCell ref="HP31:HZ31"/>
    <mergeCell ref="IC29:IM29"/>
    <mergeCell ref="IP29:IV29"/>
    <mergeCell ref="AP39:AZ39"/>
    <mergeCell ref="BC30:BM30"/>
    <mergeCell ref="BC31:BM31"/>
    <mergeCell ref="BC38:BM38"/>
    <mergeCell ref="BP30:BZ30"/>
    <mergeCell ref="CC30:CM30"/>
    <mergeCell ref="CP30:CZ30"/>
    <mergeCell ref="FP31:FZ31"/>
    <mergeCell ref="GC31:GM31"/>
    <mergeCell ref="DC37:DM37"/>
    <mergeCell ref="DP37:DZ37"/>
    <mergeCell ref="EC37:EM37"/>
    <mergeCell ref="HC29:HM29"/>
    <mergeCell ref="DC30:DM30"/>
    <mergeCell ref="DP30:DZ30"/>
    <mergeCell ref="EC30:EM30"/>
    <mergeCell ref="EP30:EZ30"/>
    <mergeCell ref="GP31:GZ31"/>
    <mergeCell ref="BP37:BZ37"/>
    <mergeCell ref="CC37:CM37"/>
    <mergeCell ref="EC29:EM29"/>
    <mergeCell ref="EP29:EZ29"/>
    <mergeCell ref="HP28:HZ28"/>
    <mergeCell ref="IC28:IM28"/>
    <mergeCell ref="IP28:IV28"/>
    <mergeCell ref="C41:M41"/>
    <mergeCell ref="P29:Z29"/>
    <mergeCell ref="AC29:AM29"/>
    <mergeCell ref="AP29:AZ29"/>
    <mergeCell ref="C40:M40"/>
    <mergeCell ref="C32:M32"/>
    <mergeCell ref="C36:M36"/>
    <mergeCell ref="GC29:GM29"/>
    <mergeCell ref="GP29:GZ29"/>
    <mergeCell ref="FP28:FZ28"/>
    <mergeCell ref="GC28:GM28"/>
    <mergeCell ref="GP28:GZ28"/>
    <mergeCell ref="HC28:HM28"/>
    <mergeCell ref="IC30:IM30"/>
    <mergeCell ref="IP30:IV30"/>
    <mergeCell ref="CP31:CZ31"/>
    <mergeCell ref="CP29:CZ29"/>
    <mergeCell ref="EC28:EM28"/>
    <mergeCell ref="EP28:EZ28"/>
    <mergeCell ref="FC28:FM28"/>
    <mergeCell ref="CP28:CZ28"/>
    <mergeCell ref="A1:I1"/>
    <mergeCell ref="C3:M3"/>
    <mergeCell ref="C5:M5"/>
    <mergeCell ref="F2:I2"/>
    <mergeCell ref="P28:Z28"/>
    <mergeCell ref="AC28:AM28"/>
    <mergeCell ref="BC28:BM28"/>
    <mergeCell ref="BP28:BZ28"/>
    <mergeCell ref="CC28:CM28"/>
    <mergeCell ref="A2:E2"/>
    <mergeCell ref="C7:M7"/>
    <mergeCell ref="C8:M8"/>
    <mergeCell ref="DP28:DZ28"/>
    <mergeCell ref="CC29:CM29"/>
    <mergeCell ref="BC29:BM29"/>
    <mergeCell ref="BP29:BZ29"/>
    <mergeCell ref="DC29:DM29"/>
    <mergeCell ref="DP29:DZ29"/>
    <mergeCell ref="CC31:CM31"/>
    <mergeCell ref="C13:M13"/>
    <mergeCell ref="C14:M14"/>
    <mergeCell ref="C15:M15"/>
    <mergeCell ref="C16:M16"/>
    <mergeCell ref="C17:M17"/>
    <mergeCell ref="C18:M18"/>
    <mergeCell ref="C19:M19"/>
    <mergeCell ref="DC28:DM28"/>
    <mergeCell ref="AP28:AZ28"/>
    <mergeCell ref="C31:M31"/>
    <mergeCell ref="C29:M29"/>
    <mergeCell ref="C30:M30"/>
    <mergeCell ref="P30:Z30"/>
    <mergeCell ref="AC30:AM30"/>
    <mergeCell ref="AP30:AZ30"/>
    <mergeCell ref="P31:Z31"/>
    <mergeCell ref="DC31:DM31"/>
    <mergeCell ref="C38:M38"/>
    <mergeCell ref="C39:M39"/>
    <mergeCell ref="C20:M20"/>
    <mergeCell ref="C21:M21"/>
    <mergeCell ref="C22:M22"/>
    <mergeCell ref="C23:M23"/>
    <mergeCell ref="C28:M28"/>
    <mergeCell ref="C24:M24"/>
    <mergeCell ref="C25:M25"/>
    <mergeCell ref="C26:M26"/>
    <mergeCell ref="C27:M27"/>
    <mergeCell ref="C33:M33"/>
    <mergeCell ref="C34:M34"/>
    <mergeCell ref="C35:M35"/>
    <mergeCell ref="C37:M37"/>
    <mergeCell ref="C51:M51"/>
    <mergeCell ref="C49:M49"/>
    <mergeCell ref="C46:M46"/>
    <mergeCell ref="C47:M47"/>
    <mergeCell ref="C48:M48"/>
    <mergeCell ref="C50:M50"/>
    <mergeCell ref="C62:M62"/>
    <mergeCell ref="C63:M63"/>
    <mergeCell ref="C64:M64"/>
    <mergeCell ref="C55:M55"/>
    <mergeCell ref="C56:M56"/>
    <mergeCell ref="C58:M58"/>
    <mergeCell ref="C59:M59"/>
    <mergeCell ref="C57:M57"/>
    <mergeCell ref="C61:M61"/>
    <mergeCell ref="C86:M86"/>
    <mergeCell ref="C87:M87"/>
    <mergeCell ref="C88:M88"/>
    <mergeCell ref="C89:M89"/>
    <mergeCell ref="C82:M82"/>
    <mergeCell ref="C83:M83"/>
    <mergeCell ref="C84:M84"/>
    <mergeCell ref="C85:M85"/>
    <mergeCell ref="C76:M76"/>
    <mergeCell ref="C77:M77"/>
    <mergeCell ref="C78:M78"/>
    <mergeCell ref="C79:M79"/>
    <mergeCell ref="C80:M80"/>
    <mergeCell ref="C81:M81"/>
    <mergeCell ref="C75:M75"/>
    <mergeCell ref="C65:M65"/>
    <mergeCell ref="C69:M69"/>
    <mergeCell ref="A71:E71"/>
    <mergeCell ref="C72:M72"/>
    <mergeCell ref="C73:M73"/>
    <mergeCell ref="C60:M60"/>
    <mergeCell ref="C52:M52"/>
    <mergeCell ref="C53:M53"/>
    <mergeCell ref="C54:M54"/>
    <mergeCell ref="C74:M74"/>
    <mergeCell ref="C66:M66"/>
    <mergeCell ref="C67:M67"/>
    <mergeCell ref="C68:M6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2016-08-30T14:20:09Z</cp:lastPrinted>
  <dcterms:created xsi:type="dcterms:W3CDTF">1997-12-04T19:04:30Z</dcterms:created>
  <dcterms:modified xsi:type="dcterms:W3CDTF">2016-11-30T16:28:56Z</dcterms:modified>
</cp:coreProperties>
</file>