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3040" windowHeight="9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/>
</workbook>
</file>

<file path=xl/calcChain.xml><?xml version="1.0" encoding="utf-8"?>
<calcChain xmlns="http://schemas.openxmlformats.org/spreadsheetml/2006/main">
  <c r="H396" i="1" l="1"/>
  <c r="J96" i="1"/>
  <c r="J468" i="1"/>
  <c r="J179" i="1"/>
  <c r="H255" i="1"/>
  <c r="H243" i="1"/>
  <c r="H207" i="1"/>
  <c r="I613" i="1" l="1"/>
  <c r="H613" i="1"/>
  <c r="G613" i="1"/>
  <c r="F613" i="1"/>
  <c r="G612" i="1"/>
  <c r="I611" i="1"/>
  <c r="G611" i="1"/>
  <c r="F611" i="1"/>
  <c r="J604" i="1"/>
  <c r="I604" i="1"/>
  <c r="H604" i="1"/>
  <c r="J592" i="1"/>
  <c r="J595" i="1"/>
  <c r="I597" i="1"/>
  <c r="H528" i="1"/>
  <c r="H527" i="1"/>
  <c r="H526" i="1"/>
  <c r="I497" i="1"/>
  <c r="I502" i="1"/>
  <c r="I501" i="1"/>
  <c r="H502" i="1"/>
  <c r="H501" i="1"/>
  <c r="I426" i="1"/>
  <c r="J426" i="1"/>
  <c r="H426" i="1"/>
  <c r="H497" i="1"/>
  <c r="H468" i="1"/>
  <c r="H400" i="1"/>
  <c r="H209" i="1" l="1"/>
  <c r="H367" i="1"/>
  <c r="G367" i="1"/>
  <c r="F368" i="1"/>
  <c r="K323" i="1" l="1"/>
  <c r="K304" i="1"/>
  <c r="K285" i="1"/>
  <c r="H320" i="1"/>
  <c r="H301" i="1"/>
  <c r="H282" i="1"/>
  <c r="G320" i="1"/>
  <c r="G301" i="1"/>
  <c r="G282" i="1"/>
  <c r="F320" i="1"/>
  <c r="F301" i="1"/>
  <c r="F282" i="1"/>
  <c r="J314" i="1"/>
  <c r="J295" i="1"/>
  <c r="J276" i="1"/>
  <c r="G317" i="1"/>
  <c r="H324" i="1"/>
  <c r="H321" i="1"/>
  <c r="H319" i="1"/>
  <c r="H317" i="1"/>
  <c r="G319" i="1"/>
  <c r="F321" i="1"/>
  <c r="F319" i="1"/>
  <c r="F317" i="1"/>
  <c r="H283" i="1"/>
  <c r="H281" i="1"/>
  <c r="H279" i="1"/>
  <c r="H332" i="1"/>
  <c r="G281" i="1"/>
  <c r="F281" i="1"/>
  <c r="I236" i="1"/>
  <c r="K240" i="1"/>
  <c r="K239" i="1"/>
  <c r="K238" i="1"/>
  <c r="K236" i="1"/>
  <c r="J243" i="1"/>
  <c r="J239" i="1"/>
  <c r="J238" i="1"/>
  <c r="I245" i="1"/>
  <c r="I243" i="1"/>
  <c r="I241" i="1"/>
  <c r="I240" i="1"/>
  <c r="I239" i="1"/>
  <c r="I238" i="1" l="1"/>
  <c r="H245" i="1"/>
  <c r="H244" i="1"/>
  <c r="H241" i="1"/>
  <c r="H240" i="1"/>
  <c r="H239" i="1"/>
  <c r="H238" i="1"/>
  <c r="H236" i="1"/>
  <c r="G245" i="1"/>
  <c r="G243" i="1"/>
  <c r="G240" i="1"/>
  <c r="G239" i="1"/>
  <c r="G238" i="1"/>
  <c r="G236" i="1"/>
  <c r="F245" i="1"/>
  <c r="F243" i="1"/>
  <c r="F240" i="1"/>
  <c r="F239" i="1"/>
  <c r="F238" i="1"/>
  <c r="F236" i="1"/>
  <c r="K222" i="1"/>
  <c r="K221" i="1"/>
  <c r="K220" i="1"/>
  <c r="K218" i="1"/>
  <c r="I227" i="1"/>
  <c r="I225" i="1"/>
  <c r="I223" i="1"/>
  <c r="I222" i="1"/>
  <c r="I221" i="1"/>
  <c r="I220" i="1"/>
  <c r="I218" i="1"/>
  <c r="H227" i="1"/>
  <c r="H225" i="1"/>
  <c r="H226" i="1"/>
  <c r="H223" i="1"/>
  <c r="H222" i="1"/>
  <c r="H221" i="1"/>
  <c r="H220" i="1"/>
  <c r="H218" i="1"/>
  <c r="G220" i="1"/>
  <c r="G227" i="1"/>
  <c r="G225" i="1"/>
  <c r="G222" i="1"/>
  <c r="G221" i="1"/>
  <c r="G218" i="1"/>
  <c r="G216" i="1"/>
  <c r="F227" i="1"/>
  <c r="F225" i="1"/>
  <c r="F223" i="1"/>
  <c r="F222" i="1"/>
  <c r="F221" i="1"/>
  <c r="F220" i="1"/>
  <c r="F218" i="1"/>
  <c r="F216" i="1"/>
  <c r="K204" i="1"/>
  <c r="I209" i="1"/>
  <c r="I205" i="1"/>
  <c r="I204" i="1"/>
  <c r="I203" i="1"/>
  <c r="I202" i="1"/>
  <c r="I200" i="1"/>
  <c r="I198" i="1"/>
  <c r="H208" i="1"/>
  <c r="H205" i="1"/>
  <c r="H204" i="1"/>
  <c r="H203" i="1"/>
  <c r="H202" i="1"/>
  <c r="H198" i="1"/>
  <c r="G209" i="1"/>
  <c r="G205" i="1"/>
  <c r="G204" i="1"/>
  <c r="G203" i="1"/>
  <c r="G202" i="1"/>
  <c r="G200" i="1"/>
  <c r="G198" i="1"/>
  <c r="F202" i="1"/>
  <c r="F209" i="1"/>
  <c r="F205" i="1"/>
  <c r="F204" i="1"/>
  <c r="F203" i="1"/>
  <c r="F200" i="1"/>
  <c r="F198" i="1"/>
  <c r="H102" i="1"/>
  <c r="H64" i="1"/>
  <c r="H63" i="1"/>
  <c r="G97" i="1"/>
  <c r="F110" i="1"/>
  <c r="H43" i="1"/>
  <c r="H28" i="1"/>
  <c r="H24" i="1"/>
  <c r="H13" i="1"/>
  <c r="H9" i="1"/>
  <c r="H36" i="1"/>
  <c r="H30" i="1"/>
  <c r="H17" i="1"/>
  <c r="H22" i="1" l="1"/>
  <c r="H14" i="1"/>
  <c r="H23" i="1"/>
  <c r="G9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E125" i="2" s="1"/>
  <c r="L314" i="1"/>
  <c r="L315" i="1"/>
  <c r="L316" i="1"/>
  <c r="L317" i="1"/>
  <c r="E112" i="2" s="1"/>
  <c r="L319" i="1"/>
  <c r="L320" i="1"/>
  <c r="L321" i="1"/>
  <c r="E120" i="2" s="1"/>
  <c r="L322" i="1"/>
  <c r="L323" i="1"/>
  <c r="L324" i="1"/>
  <c r="E123" i="2" s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L349" i="1"/>
  <c r="C26" i="10" s="1"/>
  <c r="L350" i="1"/>
  <c r="I665" i="1"/>
  <c r="I670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C114" i="2"/>
  <c r="D115" i="2"/>
  <c r="F115" i="2"/>
  <c r="G115" i="2"/>
  <c r="E121" i="2"/>
  <c r="E124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I408" i="1" s="1"/>
  <c r="F407" i="1"/>
  <c r="G407" i="1"/>
  <c r="H407" i="1"/>
  <c r="I407" i="1"/>
  <c r="F408" i="1"/>
  <c r="G408" i="1"/>
  <c r="H645" i="1" s="1"/>
  <c r="J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F452" i="1"/>
  <c r="G452" i="1"/>
  <c r="H452" i="1"/>
  <c r="I452" i="1"/>
  <c r="F460" i="1"/>
  <c r="G460" i="1"/>
  <c r="H460" i="1"/>
  <c r="H461" i="1" s="1"/>
  <c r="H641" i="1" s="1"/>
  <c r="I460" i="1"/>
  <c r="I461" i="1" s="1"/>
  <c r="H642" i="1" s="1"/>
  <c r="F461" i="1"/>
  <c r="G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0" i="1"/>
  <c r="H640" i="1"/>
  <c r="J640" i="1" s="1"/>
  <c r="G643" i="1"/>
  <c r="J643" i="1" s="1"/>
  <c r="H643" i="1"/>
  <c r="G644" i="1"/>
  <c r="G645" i="1"/>
  <c r="G651" i="1"/>
  <c r="G652" i="1"/>
  <c r="H652" i="1"/>
  <c r="G653" i="1"/>
  <c r="H653" i="1"/>
  <c r="G654" i="1"/>
  <c r="H654" i="1"/>
  <c r="H655" i="1"/>
  <c r="F192" i="1"/>
  <c r="D62" i="2"/>
  <c r="D63" i="2" s="1"/>
  <c r="F78" i="2"/>
  <c r="D50" i="2"/>
  <c r="D91" i="2"/>
  <c r="D19" i="13"/>
  <c r="C19" i="13" s="1"/>
  <c r="E78" i="2"/>
  <c r="L419" i="1"/>
  <c r="I169" i="1"/>
  <c r="J476" i="1"/>
  <c r="H626" i="1" s="1"/>
  <c r="G476" i="1"/>
  <c r="H623" i="1" s="1"/>
  <c r="J140" i="1"/>
  <c r="G22" i="2"/>
  <c r="H140" i="1"/>
  <c r="H192" i="1"/>
  <c r="L570" i="1"/>
  <c r="G36" i="2"/>
  <c r="A31" i="12" l="1"/>
  <c r="G62" i="2"/>
  <c r="G63" i="2" s="1"/>
  <c r="G104" i="2" s="1"/>
  <c r="J644" i="1"/>
  <c r="J655" i="1"/>
  <c r="J651" i="1"/>
  <c r="K598" i="1"/>
  <c r="G647" i="1" s="1"/>
  <c r="I571" i="1"/>
  <c r="H571" i="1"/>
  <c r="K545" i="1"/>
  <c r="J545" i="1"/>
  <c r="I545" i="1"/>
  <c r="L544" i="1"/>
  <c r="J552" i="1"/>
  <c r="H545" i="1"/>
  <c r="L534" i="1"/>
  <c r="K550" i="1"/>
  <c r="G545" i="1"/>
  <c r="K551" i="1"/>
  <c r="H552" i="1"/>
  <c r="G552" i="1"/>
  <c r="L524" i="1"/>
  <c r="F552" i="1"/>
  <c r="K549" i="1"/>
  <c r="G164" i="2"/>
  <c r="K500" i="1"/>
  <c r="G161" i="2"/>
  <c r="I476" i="1"/>
  <c r="H625" i="1" s="1"/>
  <c r="H476" i="1"/>
  <c r="H624" i="1" s="1"/>
  <c r="J624" i="1" s="1"/>
  <c r="F476" i="1"/>
  <c r="H622" i="1" s="1"/>
  <c r="J622" i="1" s="1"/>
  <c r="I446" i="1"/>
  <c r="G642" i="1" s="1"/>
  <c r="J642" i="1" s="1"/>
  <c r="J641" i="1"/>
  <c r="L401" i="1"/>
  <c r="C139" i="2" s="1"/>
  <c r="F130" i="2"/>
  <c r="F144" i="2" s="1"/>
  <c r="F145" i="2" s="1"/>
  <c r="J634" i="1"/>
  <c r="D29" i="13"/>
  <c r="C29" i="13" s="1"/>
  <c r="G661" i="1"/>
  <c r="L362" i="1"/>
  <c r="G635" i="1" s="1"/>
  <c r="J635" i="1" s="1"/>
  <c r="H661" i="1"/>
  <c r="F22" i="13"/>
  <c r="C22" i="13" s="1"/>
  <c r="E122" i="2"/>
  <c r="E118" i="2"/>
  <c r="G338" i="1"/>
  <c r="G352" i="1" s="1"/>
  <c r="L328" i="1"/>
  <c r="F338" i="1"/>
  <c r="F352" i="1" s="1"/>
  <c r="H338" i="1"/>
  <c r="H352" i="1" s="1"/>
  <c r="E119" i="2"/>
  <c r="L309" i="1"/>
  <c r="E110" i="2"/>
  <c r="K338" i="1"/>
  <c r="K352" i="1" s="1"/>
  <c r="C11" i="10"/>
  <c r="L290" i="1"/>
  <c r="L256" i="1"/>
  <c r="G257" i="1"/>
  <c r="G271" i="1" s="1"/>
  <c r="L247" i="1"/>
  <c r="C12" i="10"/>
  <c r="F257" i="1"/>
  <c r="F271" i="1" s="1"/>
  <c r="C109" i="2"/>
  <c r="J257" i="1"/>
  <c r="J271" i="1" s="1"/>
  <c r="C125" i="2"/>
  <c r="C122" i="2"/>
  <c r="H257" i="1"/>
  <c r="H271" i="1" s="1"/>
  <c r="C118" i="2"/>
  <c r="G650" i="1"/>
  <c r="J650" i="1" s="1"/>
  <c r="C119" i="2"/>
  <c r="C21" i="10"/>
  <c r="C20" i="10"/>
  <c r="C121" i="2"/>
  <c r="C112" i="2"/>
  <c r="A13" i="12"/>
  <c r="L229" i="1"/>
  <c r="K257" i="1"/>
  <c r="K271" i="1" s="1"/>
  <c r="C16" i="10"/>
  <c r="C13" i="10"/>
  <c r="D5" i="13"/>
  <c r="C5" i="13" s="1"/>
  <c r="D14" i="13"/>
  <c r="C14" i="13" s="1"/>
  <c r="C123" i="2"/>
  <c r="C18" i="10"/>
  <c r="C110" i="2"/>
  <c r="E16" i="13"/>
  <c r="C17" i="10"/>
  <c r="L211" i="1"/>
  <c r="D7" i="13"/>
  <c r="C7" i="13" s="1"/>
  <c r="E62" i="2"/>
  <c r="E63" i="2" s="1"/>
  <c r="E104" i="2" s="1"/>
  <c r="H112" i="1"/>
  <c r="H193" i="1" s="1"/>
  <c r="G629" i="1" s="1"/>
  <c r="J629" i="1" s="1"/>
  <c r="C70" i="2"/>
  <c r="C81" i="2" s="1"/>
  <c r="F112" i="1"/>
  <c r="H52" i="1"/>
  <c r="H619" i="1" s="1"/>
  <c r="J619" i="1" s="1"/>
  <c r="E31" i="2"/>
  <c r="J623" i="1"/>
  <c r="D31" i="2"/>
  <c r="D51" i="2" s="1"/>
  <c r="J617" i="1"/>
  <c r="C18" i="2"/>
  <c r="C16" i="13"/>
  <c r="I271" i="1"/>
  <c r="L539" i="1"/>
  <c r="K503" i="1"/>
  <c r="L382" i="1"/>
  <c r="G636" i="1" s="1"/>
  <c r="J636" i="1" s="1"/>
  <c r="E109" i="2"/>
  <c r="E115" i="2" s="1"/>
  <c r="C62" i="2"/>
  <c r="F661" i="1"/>
  <c r="C19" i="10"/>
  <c r="C15" i="10"/>
  <c r="C10" i="10"/>
  <c r="G112" i="1"/>
  <c r="E13" i="13"/>
  <c r="C13" i="13" s="1"/>
  <c r="E8" i="13"/>
  <c r="C8" i="13" s="1"/>
  <c r="D12" i="13"/>
  <c r="C12" i="13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H25" i="13"/>
  <c r="E81" i="2"/>
  <c r="F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J647" i="1" l="1"/>
  <c r="L545" i="1"/>
  <c r="K552" i="1"/>
  <c r="J625" i="1"/>
  <c r="F33" i="13"/>
  <c r="L408" i="1"/>
  <c r="G637" i="1" s="1"/>
  <c r="J637" i="1" s="1"/>
  <c r="C141" i="2"/>
  <c r="C144" i="2" s="1"/>
  <c r="C27" i="10"/>
  <c r="C28" i="10" s="1"/>
  <c r="D19" i="10" s="1"/>
  <c r="I661" i="1"/>
  <c r="E128" i="2"/>
  <c r="H660" i="1"/>
  <c r="H664" i="1" s="1"/>
  <c r="H667" i="1" s="1"/>
  <c r="G660" i="1"/>
  <c r="G664" i="1" s="1"/>
  <c r="G667" i="1" s="1"/>
  <c r="L338" i="1"/>
  <c r="L352" i="1" s="1"/>
  <c r="G633" i="1" s="1"/>
  <c r="J633" i="1" s="1"/>
  <c r="E145" i="2"/>
  <c r="H648" i="1"/>
  <c r="J648" i="1" s="1"/>
  <c r="C115" i="2"/>
  <c r="L257" i="1"/>
  <c r="L271" i="1" s="1"/>
  <c r="G632" i="1" s="1"/>
  <c r="J632" i="1" s="1"/>
  <c r="C128" i="2"/>
  <c r="F660" i="1"/>
  <c r="C36" i="10"/>
  <c r="F193" i="1"/>
  <c r="G627" i="1" s="1"/>
  <c r="J627" i="1" s="1"/>
  <c r="E51" i="2"/>
  <c r="D31" i="13"/>
  <c r="C31" i="13" s="1"/>
  <c r="E33" i="13"/>
  <c r="D35" i="13" s="1"/>
  <c r="C25" i="13"/>
  <c r="H33" i="13"/>
  <c r="C63" i="2"/>
  <c r="C104" i="2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72" i="1"/>
  <c r="C6" i="10" s="1"/>
  <c r="I660" i="1"/>
  <c r="I664" i="1" s="1"/>
  <c r="I672" i="1" s="1"/>
  <c r="C7" i="10" s="1"/>
  <c r="G672" i="1"/>
  <c r="C5" i="10" s="1"/>
  <c r="F664" i="1"/>
  <c r="F667" i="1" s="1"/>
  <c r="D33" i="13"/>
  <c r="D36" i="13" s="1"/>
  <c r="C145" i="2"/>
  <c r="D11" i="10"/>
  <c r="D22" i="10"/>
  <c r="D27" i="10"/>
  <c r="D17" i="10"/>
  <c r="D24" i="10"/>
  <c r="D13" i="10"/>
  <c r="D21" i="10"/>
  <c r="D18" i="10"/>
  <c r="D12" i="10"/>
  <c r="D10" i="10"/>
  <c r="D26" i="10"/>
  <c r="C30" i="10"/>
  <c r="D16" i="10"/>
  <c r="D23" i="10"/>
  <c r="D20" i="10"/>
  <c r="D15" i="10"/>
  <c r="D25" i="10"/>
  <c r="F672" i="1"/>
  <c r="C4" i="10" s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<sst xmlns="http://schemas.openxmlformats.org/spreadsheetml/2006/main" count="3963" uniqueCount="920">
  <si>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</si>
  <si>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</si>
  <si>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</si>
  <si>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</si>
  <si>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</si>
  <si>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</si>
  <si>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</si>
  <si>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</si>
  <si>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</si>
  <si>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</si>
  <si>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</si>
  <si>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</si>
  <si>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</si>
  <si>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</si>
  <si>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</si>
  <si>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</si>
  <si>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</si>
  <si>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</si>
  <si>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</si>
  <si>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</si>
  <si>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</si>
  <si>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</si>
  <si>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</si>
  <si>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</si>
  <si>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</si>
  <si>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</si>
  <si>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</si>
  <si>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</si>
  <si>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</si>
  <si>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</si>
  <si>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</si>
  <si>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</si>
  <si>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</si>
  <si>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</si>
  <si>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</si>
  <si>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</si>
  <si>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</si>
  <si>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</si>
  <si>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</si>
  <si>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</si>
  <si>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</si>
  <si>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</si>
  <si>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</si>
  <si>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</si>
  <si>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</si>
  <si>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</si>
  <si>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</si>
  <si>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</si>
  <si>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</si>
  <si>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</si>
  <si>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</si>
  <si>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</si>
  <si>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</si>
  <si>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</si>
  <si>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</si>
  <si>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</si>
  <si>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</si>
  <si>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</si>
  <si>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</si>
  <si>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</si>
  <si>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</si>
  <si>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</si>
  <si>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</si>
  <si>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</si>
  <si>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</si>
  <si>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</si>
  <si>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</si>
  <si>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</si>
  <si>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</si>
  <si>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</si>
  <si>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</si>
  <si>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</si>
  <si>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</si>
  <si>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</si>
  <si>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</si>
  <si>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</si>
  <si>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</si>
  <si>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</si>
  <si>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</si>
  <si>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</si>
  <si>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</si>
  <si>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</si>
  <si>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</si>
  <si>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</si>
  <si>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</si>
  <si>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</si>
  <si>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</si>
  <si>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</si>
  <si>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</si>
  <si>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</si>
  <si>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</si>
  <si>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</si>
  <si>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</si>
  <si>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</si>
  <si>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</si>
  <si>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</si>
  <si>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</si>
  <si>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</si>
  <si>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</si>
  <si>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</si>
  <si>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</si>
  <si>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</si>
  <si>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</si>
  <si>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</si>
  <si>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</si>
  <si>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</si>
  <si>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</si>
  <si>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</si>
  <si>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</si>
  <si>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</si>
  <si>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</si>
  <si>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</si>
  <si>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</si>
  <si>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</si>
  <si>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</si>
  <si>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</si>
  <si>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</si>
  <si>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</si>
  <si>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</si>
  <si>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</si>
  <si>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</si>
  <si>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</si>
  <si>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</si>
  <si>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</si>
  <si>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</si>
  <si>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</si>
  <si>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</si>
  <si>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</si>
  <si>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</si>
  <si>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</si>
  <si>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</si>
  <si>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</si>
  <si>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</si>
  <si>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</si>
  <si>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</si>
  <si>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</si>
  <si>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</si>
  <si>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</si>
  <si>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</si>
  <si>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</si>
  <si>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</si>
  <si>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</si>
  <si>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</si>
  <si>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</si>
  <si>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</si>
  <si>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</si>
  <si>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</si>
  <si>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</si>
  <si>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</si>
  <si>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</si>
  <si>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</si>
  <si>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</si>
  <si>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</si>
  <si>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</si>
  <si>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</si>
  <si>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</si>
  <si>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</si>
  <si>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</si>
  <si>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</si>
  <si>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</si>
  <si>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</si>
  <si>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</si>
  <si>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</si>
  <si>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</si>
  <si>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</si>
  <si>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</si>
  <si>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</si>
  <si>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</si>
  <si>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</si>
  <si>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</si>
  <si>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</si>
  <si>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</si>
  <si>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</si>
  <si>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</si>
  <si>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</si>
  <si>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</si>
  <si>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</si>
  <si>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</si>
  <si>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</si>
  <si>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</si>
  <si>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</si>
  <si>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</si>
  <si>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</si>
  <si>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</si>
  <si>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</si>
  <si>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</si>
  <si>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</si>
  <si>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</si>
  <si>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</si>
  <si>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</si>
  <si>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</si>
  <si>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</si>
  <si>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</si>
  <si>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</si>
  <si>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</si>
  <si>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</si>
  <si>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</si>
  <si>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</si>
  <si>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</si>
  <si>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</si>
  <si>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</si>
  <si>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</si>
  <si>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</si>
  <si>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</si>
  <si>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</si>
  <si>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</si>
  <si>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</si>
  <si>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</si>
  <si>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</si>
  <si>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</si>
  <si>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</si>
  <si>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</si>
  <si>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</si>
  <si>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</si>
  <si>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</si>
  <si>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</si>
  <si>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</si>
  <si>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</si>
  <si>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</si>
  <si>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</si>
  <si>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</si>
  <si>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</si>
  <si>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</si>
  <si>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</si>
  <si>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</si>
  <si>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</si>
  <si>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</si>
  <si>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</si>
  <si>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</si>
  <si>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</si>
  <si>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</si>
  <si>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</si>
  <si>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</si>
  <si>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</si>
  <si>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</si>
  <si>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</si>
  <si>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</si>
  <si>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</si>
  <si>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</si>
  <si>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</si>
  <si>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</si>
  <si>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</si>
  <si>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</si>
  <si>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</si>
  <si>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</si>
  <si>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</si>
  <si>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</si>
  <si>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</si>
  <si>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</si>
  <si>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</si>
  <si>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</si>
  <si>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</si>
  <si>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</si>
  <si>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</si>
  <si>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</si>
  <si>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</si>
  <si>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</si>
  <si>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</si>
  <si>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</si>
  <si>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</si>
  <si>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</si>
  <si>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</si>
  <si>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</si>
  <si>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</si>
  <si>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</si>
  <si>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</si>
  <si>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</si>
  <si>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</si>
  <si>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</si>
  <si>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</si>
  <si>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</si>
  <si>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</si>
  <si>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</si>
  <si>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</si>
  <si>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</si>
  <si>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</si>
  <si>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</si>
  <si>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</si>
  <si>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</si>
  <si>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</si>
  <si>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</si>
  <si>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</si>
  <si>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</si>
  <si>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</si>
  <si>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</si>
  <si>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</si>
  <si>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</si>
  <si>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</si>
  <si>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</si>
  <si>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</si>
  <si>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</si>
  <si>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</si>
  <si>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</si>
  <si>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</si>
  <si>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</si>
  <si>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</si>
  <si>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</si>
  <si>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</si>
  <si>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</si>
  <si>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</si>
  <si>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</si>
  <si>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</si>
  <si>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</si>
  <si>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</si>
  <si>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</si>
  <si>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</si>
  <si>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</si>
  <si>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</si>
  <si>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</si>
  <si>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</si>
  <si>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</si>
  <si>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</si>
  <si>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</si>
  <si>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</si>
  <si>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</si>
  <si>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</si>
  <si>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</si>
  <si>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</si>
  <si>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</si>
  <si>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</si>
  <si>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</si>
  <si>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</si>
  <si>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</si>
  <si>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</si>
  <si>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</si>
  <si>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</si>
  <si>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</si>
  <si>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</si>
  <si>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</si>
  <si>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</si>
  <si>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</si>
  <si>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</si>
  <si>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</si>
  <si>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</si>
  <si>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</si>
  <si>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</si>
  <si>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</si>
  <si>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</si>
  <si>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</si>
  <si>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</si>
  <si>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</si>
  <si>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</si>
  <si>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</si>
  <si>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</si>
  <si>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</si>
  <si>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</si>
  <si>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</si>
  <si>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</si>
  <si>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</si>
  <si>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</si>
  <si>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</si>
  <si>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</si>
  <si>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</si>
  <si>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</si>
  <si>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</si>
  <si>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</si>
  <si>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</si>
  <si>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</si>
  <si>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</si>
  <si>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</si>
  <si>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</si>
  <si>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</si>
  <si>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</si>
  <si>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</si>
  <si>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</si>
  <si>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</si>
  <si>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</si>
  <si>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</si>
  <si>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</si>
  <si>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</si>
  <si>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</si>
  <si>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</si>
  <si>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</si>
  <si>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</si>
  <si>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</si>
  <si>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</si>
  <si>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</si>
  <si>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</si>
  <si>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</si>
  <si>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</si>
  <si>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</si>
  <si>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</si>
  <si>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</si>
  <si>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</si>
  <si>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</si>
  <si>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</si>
  <si>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</si>
  <si>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</si>
  <si>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</si>
  <si>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</si>
  <si>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</si>
  <si>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</si>
  <si>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</si>
  <si>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</si>
  <si>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</si>
  <si>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</si>
  <si>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</si>
  <si>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</si>
  <si>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</si>
  <si>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</si>
  <si>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</si>
  <si>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</si>
  <si>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</si>
  <si>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</si>
  <si>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</si>
  <si>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</si>
  <si>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</si>
  <si>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</si>
  <si>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</si>
  <si>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</si>
  <si>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</si>
  <si>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</si>
  <si>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</si>
  <si>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</si>
  <si>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</si>
  <si>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</si>
  <si>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</si>
  <si>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</si>
  <si>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</si>
  <si>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</si>
  <si>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</si>
  <si>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</si>
  <si>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</si>
  <si>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</si>
  <si>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</si>
  <si>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</si>
  <si>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</si>
  <si>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</si>
  <si>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</si>
  <si>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</si>
  <si>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</si>
  <si>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</si>
  <si>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</si>
  <si>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</si>
  <si>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</si>
  <si>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</si>
  <si>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</si>
  <si>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</si>
  <si>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</si>
  <si>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</si>
  <si>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</si>
  <si>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</si>
  <si>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</si>
  <si>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</si>
  <si>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</si>
  <si>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</si>
  <si>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</si>
  <si>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</si>
  <si>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</si>
  <si>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</si>
  <si>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</si>
  <si>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</si>
  <si>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</si>
  <si>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</si>
  <si>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</si>
  <si>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</si>
  <si>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</si>
  <si>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</si>
  <si>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</si>
  <si>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</si>
  <si>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</si>
  <si>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</si>
  <si>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</si>
  <si>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</si>
  <si>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</si>
  <si>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</si>
  <si>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</si>
  <si>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</si>
  <si>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</si>
  <si>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</si>
  <si>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</si>
  <si>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</si>
  <si>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</si>
  <si>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</si>
  <si>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</si>
  <si>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</si>
  <si>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</si>
  <si>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</si>
  <si>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</si>
  <si>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</si>
  <si>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</si>
  <si>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</si>
  <si>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</si>
  <si>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</si>
  <si>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</si>
  <si>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</si>
  <si>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</si>
  <si>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</si>
  <si>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</si>
  <si>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</si>
  <si>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</si>
  <si>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</si>
  <si>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</si>
  <si>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</si>
  <si>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</si>
  <si>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</si>
  <si>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</si>
  <si>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</si>
  <si>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</si>
  <si>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</si>
  <si>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</si>
  <si>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</si>
  <si>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</si>
  <si>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</si>
  <si>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</si>
  <si>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</si>
  <si>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</si>
  <si>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</si>
  <si>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</si>
  <si>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</si>
  <si>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</si>
  <si>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</si>
  <si>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</si>
  <si>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</si>
  <si>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</si>
  <si>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</si>
  <si>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</si>
  <si>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</si>
  <si>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</si>
  <si>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</si>
  <si>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</si>
  <si>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</si>
  <si>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</si>
  <si>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</si>
  <si>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</si>
  <si>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</si>
  <si>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</si>
  <si>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</si>
  <si>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</si>
  <si>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</si>
  <si>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</si>
  <si>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</si>
  <si>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</si>
  <si>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</si>
  <si>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</si>
  <si>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</si>
  <si>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</si>
  <si>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</si>
  <si>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</si>
  <si>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</si>
  <si>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</si>
  <si>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</si>
  <si>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</si>
  <si>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</si>
  <si>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</si>
  <si>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</si>
  <si>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</si>
  <si>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</si>
  <si>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</si>
  <si>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</si>
  <si>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</si>
  <si>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</si>
  <si>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</si>
  <si>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</si>
  <si>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</si>
  <si>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</si>
  <si>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</si>
  <si>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</si>
  <si>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</si>
  <si>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</si>
  <si>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</si>
  <si>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</si>
  <si>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</si>
  <si>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</si>
  <si>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</si>
  <si>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</si>
  <si>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</si>
  <si>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</si>
  <si>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</si>
  <si>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</si>
  <si>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</si>
  <si>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</si>
  <si>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</si>
  <si>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</si>
  <si>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</si>
  <si>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</si>
  <si>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</si>
  <si>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</si>
  <si>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</si>
  <si>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</si>
  <si>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</si>
  <si>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</si>
  <si>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</si>
  <si>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</si>
  <si>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</si>
  <si>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</si>
  <si>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</si>
  <si>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</si>
  <si>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</si>
  <si>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</si>
  <si>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</si>
  <si>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</si>
  <si>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</si>
  <si>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</si>
  <si>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</si>
  <si>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</si>
  <si>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</si>
  <si>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</si>
  <si>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</si>
  <si>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</si>
  <si>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</si>
  <si>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</si>
  <si>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</si>
  <si>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</si>
  <si>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</si>
  <si>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</si>
  <si>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</si>
  <si>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</si>
  <si>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</si>
  <si>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</si>
  <si>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</si>
  <si>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</si>
  <si>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</si>
  <si>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</si>
  <si>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</si>
  <si>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</si>
  <si>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</si>
  <si>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</si>
  <si>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</si>
  <si>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</si>
  <si>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</si>
  <si>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</si>
  <si>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</si>
  <si>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</si>
  <si>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</si>
  <si>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</si>
  <si>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</si>
  <si>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</si>
  <si>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</si>
  <si>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</si>
  <si>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</si>
  <si>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</si>
  <si>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</si>
  <si>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</si>
  <si>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</si>
  <si>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</si>
  <si>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</si>
  <si>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</si>
  <si>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</si>
  <si>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</si>
  <si>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</si>
  <si>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</si>
  <si>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</si>
  <si>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</si>
  <si>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</si>
  <si>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</si>
  <si>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</si>
  <si>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</si>
  <si>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</si>
  <si>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</si>
  <si>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</si>
  <si>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</si>
  <si>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</si>
  <si>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</si>
  <si>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</si>
  <si>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</si>
  <si>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</si>
  <si>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</si>
  <si>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</si>
  <si>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</si>
  <si>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</si>
  <si>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</si>
  <si>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</si>
  <si>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</si>
  <si>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</si>
  <si>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</si>
  <si>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</si>
  <si>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</si>
  <si>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</si>
  <si>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</si>
  <si>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</si>
  <si>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</si>
  <si>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</si>
  <si>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</si>
  <si>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</si>
  <si>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</si>
  <si>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</si>
  <si>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</si>
  <si>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</si>
  <si>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</si>
  <si>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</si>
  <si>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</si>
  <si>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</si>
  <si>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</si>
  <si>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</si>
  <si>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</si>
  <si>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</si>
  <si>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</si>
  <si>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</si>
  <si>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</si>
  <si>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</si>
  <si>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</si>
  <si>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</si>
  <si>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</si>
  <si>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</si>
  <si>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</si>
  <si>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</si>
  <si>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</si>
  <si>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</si>
  <si>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</si>
  <si>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</si>
  <si>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</si>
  <si>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</si>
  <si>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</si>
  <si>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</si>
  <si>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</si>
  <si>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</si>
  <si>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</si>
  <si>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</si>
  <si>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</si>
  <si>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</si>
  <si>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</si>
  <si>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</si>
  <si>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</si>
  <si>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</si>
  <si>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</si>
  <si>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</si>
  <si>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</si>
  <si>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</si>
  <si>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</si>
  <si>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</si>
  <si>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</si>
  <si>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</si>
  <si>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</si>
  <si>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</si>
  <si>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</si>
  <si>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</si>
  <si>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</si>
  <si>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</si>
  <si>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</si>
  <si>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</si>
  <si>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</si>
  <si>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</si>
  <si>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</si>
  <si>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</si>
  <si>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</si>
  <si>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</si>
  <si>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</si>
  <si>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</si>
  <si>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</si>
  <si>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</si>
  <si>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</si>
  <si>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</si>
  <si>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</si>
  <si>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</si>
  <si>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</si>
  <si>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</si>
  <si>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</si>
  <si>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</si>
  <si>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</si>
  <si>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</si>
  <si>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</si>
  <si>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</si>
  <si>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</si>
  <si>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</si>
  <si>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</si>
  <si>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</si>
  <si>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</si>
  <si>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</si>
  <si>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</si>
  <si>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</si>
  <si>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</si>
  <si>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</si>
  <si>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</si>
  <si>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</si>
  <si>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</si>
  <si>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</si>
  <si>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</si>
  <si>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</si>
  <si>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</si>
  <si>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</si>
  <si>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</si>
  <si>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</si>
  <si>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</si>
  <si>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</si>
  <si>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</si>
  <si>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</si>
  <si>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</si>
  <si>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</si>
  <si>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</si>
  <si>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</si>
  <si>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</si>
  <si>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</si>
  <si>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</si>
  <si>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</si>
  <si>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</si>
  <si>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</si>
  <si>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</si>
  <si>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</si>
  <si>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</si>
  <si>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</si>
  <si>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</si>
  <si>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</si>
  <si>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</si>
  <si>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</si>
  <si>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</si>
  <si>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</si>
  <si>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</si>
  <si>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</si>
  <si>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</si>
  <si>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</si>
  <si>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</si>
  <si>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</si>
  <si>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</si>
  <si>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</si>
  <si>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</si>
  <si>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</si>
  <si>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</si>
  <si>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</si>
  <si>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</si>
  <si>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</si>
  <si>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</si>
  <si>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</si>
  <si>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</si>
  <si>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</si>
  <si>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</si>
  <si>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</si>
  <si>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</si>
  <si>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</si>
  <si>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</si>
  <si>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</si>
  <si>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</si>
  <si>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</si>
  <si>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</si>
  <si>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</si>
  <si>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</si>
  <si>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</si>
  <si>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</si>
  <si>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</si>
  <si>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</si>
  <si>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</si>
  <si>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</si>
  <si>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</si>
  <si>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</si>
  <si>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</si>
  <si>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</si>
  <si>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</si>
  <si>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</si>
  <si>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</si>
  <si>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</si>
  <si>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</si>
  <si>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</si>
  <si>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</si>
  <si>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</si>
  <si>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</si>
  <si>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</si>
  <si>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</si>
  <si>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</si>
  <si>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</si>
  <si>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</si>
  <si>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</si>
  <si>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</si>
  <si>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</si>
  <si>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</si>
  <si>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</si>
  <si>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</si>
  <si>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</si>
  <si>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</si>
  <si>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</si>
  <si>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</si>
  <si>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</si>
  <si>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</si>
  <si>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</si>
  <si>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</si>
  <si>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</si>
  <si>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</si>
  <si>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</si>
  <si>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</si>
  <si>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</si>
  <si>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</si>
  <si>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</si>
  <si>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</si>
  <si>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</si>
  <si>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</si>
  <si>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</si>
  <si>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</si>
  <si>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</si>
  <si>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</si>
  <si>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</si>
  <si>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</si>
  <si>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</si>
  <si>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</si>
  <si>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</si>
  <si>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</si>
  <si>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</si>
  <si>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</si>
  <si>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</si>
  <si>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</si>
  <si>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</si>
  <si>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</si>
  <si>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</si>
  <si>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</si>
  <si>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</si>
  <si>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</si>
  <si>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</si>
  <si>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</si>
  <si>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</si>
  <si>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</si>
  <si>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</si>
  <si>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</si>
  <si>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</si>
  <si>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</si>
  <si>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</si>
  <si>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</si>
  <si>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</si>
  <si>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</si>
  <si>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</si>
  <si>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</si>
  <si>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</si>
  <si>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</si>
  <si>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</si>
  <si>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</si>
  <si>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KEENE SCHOOL DISTRICT</t>
  </si>
  <si>
    <t>7/99</t>
  </si>
  <si>
    <t>08/19</t>
  </si>
  <si>
    <t>08/06</t>
  </si>
  <si>
    <t>08/16</t>
  </si>
  <si>
    <t>7/10</t>
  </si>
  <si>
    <t>08/39</t>
  </si>
  <si>
    <t>07/10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</si>
</sst>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279</v>
      </c>
      <c r="C2" s="21">
        <v>279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2651836.8+900-995415.31</f>
        <v>1657321.4899999998</v>
      </c>
      <c r="G9" s="18">
        <f>280283.28+300</f>
        <v>280583.28000000003</v>
      </c>
      <c r="H9" s="18">
        <f>231399.21+1064.1+6483.41</f>
        <v>238946.72</v>
      </c>
      <c r="I9" s="18">
        <v>272</v>
      </c>
      <c r="J9" s="67">
        <f>SUM(I439)</f>
        <v>623418.05000000005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402918.48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495225.02</v>
      </c>
      <c r="G13" s="18">
        <v>33838.9</v>
      </c>
      <c r="H13" s="18">
        <f>529724.94+2465.84</f>
        <v>532190.77999999991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16278.7</v>
      </c>
      <c r="G14" s="18">
        <v>4831.78</v>
      </c>
      <c r="H14" s="18">
        <f>36674.14</f>
        <v>36674.14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f>693.97+20600</f>
        <v>21293.97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2571743.69</v>
      </c>
      <c r="G19" s="41">
        <f>SUM(G9:G18)</f>
        <v>319253.96000000008</v>
      </c>
      <c r="H19" s="41">
        <f>SUM(H9:H18)</f>
        <v>829105.60999999987</v>
      </c>
      <c r="I19" s="41">
        <f>SUM(I9:I18)</f>
        <v>272</v>
      </c>
      <c r="J19" s="41">
        <f>SUM(J9:J18)</f>
        <v>623418.05000000005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397757.73+5160.75</f>
        <v>402918.48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29071.86</v>
      </c>
      <c r="G23" s="18"/>
      <c r="H23" s="18">
        <f>79966.22</f>
        <v>79966.22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221871.7</v>
      </c>
      <c r="G24" s="18">
        <v>323.83999999999997</v>
      </c>
      <c r="H24" s="18">
        <f>17482.78+1197.66+527.87</f>
        <v>19208.309999999998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161015.35999999999</v>
      </c>
      <c r="G28" s="18"/>
      <c r="H28" s="18">
        <f>35212.18+2568.58+495.52</f>
        <v>38276.28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25489.95</v>
      </c>
      <c r="H30" s="18">
        <f>57625</f>
        <v>57625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411958.92</v>
      </c>
      <c r="G32" s="41">
        <f>SUM(G22:G31)</f>
        <v>25813.79</v>
      </c>
      <c r="H32" s="41">
        <f>SUM(H22:H31)</f>
        <v>597994.28999999992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>
        <f>693.97+20600</f>
        <v>21293.97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293440.17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f>31513.39+173537.91-693.97</f>
        <v>204357.33</v>
      </c>
      <c r="I43" s="18">
        <v>272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32137.98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5460.02</v>
      </c>
      <c r="I48" s="18"/>
      <c r="J48" s="13">
        <f>SUM(I459)</f>
        <v>623418.05000000005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2077646.79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2159784.77</v>
      </c>
      <c r="G51" s="41">
        <f>SUM(G35:G50)</f>
        <v>293440.17</v>
      </c>
      <c r="H51" s="41">
        <f>SUM(H35:H50)</f>
        <v>231111.31999999998</v>
      </c>
      <c r="I51" s="41">
        <f>SUM(I35:I50)</f>
        <v>272</v>
      </c>
      <c r="J51" s="41">
        <f>SUM(J35:J50)</f>
        <v>623418.05000000005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2571743.69</v>
      </c>
      <c r="G52" s="41">
        <f>G51+G32</f>
        <v>319253.95999999996</v>
      </c>
      <c r="H52" s="41">
        <f>H51+H32</f>
        <v>829105.60999999987</v>
      </c>
      <c r="I52" s="41">
        <f>I51+I32</f>
        <v>272</v>
      </c>
      <c r="J52" s="41">
        <f>J51+J32</f>
        <v>623418.05000000005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28181683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28181683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56602.720000000001</v>
      </c>
      <c r="G63" s="24" t="s">
        <v>289</v>
      </c>
      <c r="H63" s="18">
        <f>156302</f>
        <v>156302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f>7785+10115</f>
        <v>17900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208610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75805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7942816.7400000002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3171385.08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91599.2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11262403.739999998</v>
      </c>
      <c r="G79" s="45" t="s">
        <v>289</v>
      </c>
      <c r="H79" s="41">
        <f>SUM(H63:H78)</f>
        <v>458617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8396.9500000000007</v>
      </c>
      <c r="G96" s="18"/>
      <c r="H96" s="18"/>
      <c r="I96" s="18"/>
      <c r="J96" s="18">
        <f>261.43+3-82.19+0.48+386.24+978.46</f>
        <v>1547.42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259140.17+41008.95+448619.49+27282.82+5902.71</f>
        <v>781954.1399999999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67279.3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140009.8+500</f>
        <v>140509.79999999999</v>
      </c>
      <c r="I102" s="18"/>
      <c r="J102" s="18">
        <v>350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>
        <v>4870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279776.13</v>
      </c>
      <c r="G105" s="18"/>
      <c r="H105" s="18">
        <v>93883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772736.87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195495.98+80929.95</f>
        <v>276425.93</v>
      </c>
      <c r="G110" s="18">
        <v>21325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1404615.18</v>
      </c>
      <c r="G111" s="41">
        <f>SUM(G96:G110)</f>
        <v>803279.1399999999</v>
      </c>
      <c r="H111" s="41">
        <f>SUM(H96:H110)</f>
        <v>239262.8</v>
      </c>
      <c r="I111" s="41">
        <f>SUM(I96:I110)</f>
        <v>0</v>
      </c>
      <c r="J111" s="41">
        <f>SUM(J96:J110)</f>
        <v>1897.42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40848701.919999994</v>
      </c>
      <c r="G112" s="41">
        <f>G60+G111</f>
        <v>803279.1399999999</v>
      </c>
      <c r="H112" s="41">
        <f>H60+H79+H94+H111</f>
        <v>697879.8</v>
      </c>
      <c r="I112" s="41">
        <f>I60+I111</f>
        <v>0</v>
      </c>
      <c r="J112" s="41">
        <f>J60+J111</f>
        <v>1897.42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10584505.550000001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4207896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14792401.550000001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1651947.62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621392.82999999996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209477.82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2260.8000000000002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13737.68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2485079.0699999998</v>
      </c>
      <c r="G136" s="41">
        <f>SUM(G123:G135)</f>
        <v>13737.68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17277480.620000001</v>
      </c>
      <c r="G140" s="41">
        <f>G121+SUM(G136:G137)</f>
        <v>13737.68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609657.71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320499.48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270590.21000000002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146946.25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701885.65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823851.06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590199.15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590199.15</v>
      </c>
      <c r="G162" s="41">
        <f>SUM(G150:G161)</f>
        <v>701885.65</v>
      </c>
      <c r="H162" s="41">
        <f>SUM(H150:H161)</f>
        <v>2171544.71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590199.15</v>
      </c>
      <c r="G169" s="41">
        <f>G147+G162+SUM(G163:G168)</f>
        <v>701885.65</v>
      </c>
      <c r="H169" s="41">
        <f>H147+H162+SUM(H163:H168)</f>
        <v>2171544.71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f>100000+1+92797</f>
        <v>192798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281910.15000000002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281910.15000000002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192798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936.5</v>
      </c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282846.65000000002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192798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58999228.339999989</v>
      </c>
      <c r="G193" s="47">
        <f>G112+G140+G169+G192</f>
        <v>1518902.47</v>
      </c>
      <c r="H193" s="47">
        <f>H112+H140+H169+H192</f>
        <v>2869424.51</v>
      </c>
      <c r="I193" s="47">
        <f>I112+I140+I169+I192</f>
        <v>0</v>
      </c>
      <c r="J193" s="47">
        <f>J112+J140+J192</f>
        <v>194695.42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5586734.7999999998</v>
      </c>
      <c r="G197" s="18">
        <v>2351882.8199999998</v>
      </c>
      <c r="H197" s="18">
        <v>9547.9</v>
      </c>
      <c r="I197" s="18">
        <v>268255.87</v>
      </c>
      <c r="J197" s="18">
        <v>28003.84</v>
      </c>
      <c r="K197" s="18">
        <v>23216.69</v>
      </c>
      <c r="L197" s="19">
        <f>SUM(F197:K197)</f>
        <v>8267641.9199999999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3219467.86+116220.9</f>
        <v>3335688.76</v>
      </c>
      <c r="G198" s="18">
        <f>1139753.78+48132.28</f>
        <v>1187886.06</v>
      </c>
      <c r="H198" s="18">
        <f>702674.64+602.8</f>
        <v>703277.44000000006</v>
      </c>
      <c r="I198" s="18">
        <f>23310.91+1326.28</f>
        <v>24637.19</v>
      </c>
      <c r="J198" s="18">
        <v>11361.71</v>
      </c>
      <c r="K198" s="18"/>
      <c r="L198" s="19">
        <f>SUM(F198:K198)</f>
        <v>5262851.1600000011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9652+23935.68+2325</f>
        <v>35912.68</v>
      </c>
      <c r="G200" s="18">
        <f>2107.63+4568.48+261.57</f>
        <v>6937.6799999999994</v>
      </c>
      <c r="H200" s="18"/>
      <c r="I200" s="18">
        <f>487.97+543.95</f>
        <v>1031.92</v>
      </c>
      <c r="J200" s="18"/>
      <c r="K200" s="18">
        <v>150</v>
      </c>
      <c r="L200" s="19">
        <f>SUM(F200:K200)</f>
        <v>44032.28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33996.3+326794.11+257907.31+294199.31+747673.39+194618.22+38838.54</f>
        <v>1894027.18</v>
      </c>
      <c r="G202" s="18">
        <f>2791.1+164911.56+101668.94+130639.85+340994.51+102316.53+19651.18</f>
        <v>862973.67</v>
      </c>
      <c r="H202" s="18">
        <f>4052.5+435.35+120+65055.66+105619.5+84456.8+23.68</f>
        <v>259763.49</v>
      </c>
      <c r="I202" s="18">
        <f>1460.79+2323.12+1896.99+785.3</f>
        <v>6466.2</v>
      </c>
      <c r="J202" s="18"/>
      <c r="K202" s="18"/>
      <c r="L202" s="19">
        <f t="shared" ref="L202:L208" si="0">SUM(F202:K202)</f>
        <v>3023230.54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2500+11400+59930.68+226534.76</f>
        <v>300365.44</v>
      </c>
      <c r="G203" s="18">
        <f>597+2722.37+39071.12+96208.98</f>
        <v>138599.47</v>
      </c>
      <c r="H203" s="18">
        <f>21213+47056.45+1757.5+36807.19+3945.04</f>
        <v>110779.18</v>
      </c>
      <c r="I203" s="18">
        <f>7992.47+5664.85+27665.24+2695.45</f>
        <v>44018.009999999995</v>
      </c>
      <c r="J203" s="18">
        <v>1453.63</v>
      </c>
      <c r="K203" s="18">
        <v>866.66</v>
      </c>
      <c r="L203" s="19">
        <f t="shared" si="0"/>
        <v>596082.39000000013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8270.25+500+2035+2220+175342.56</f>
        <v>188367.81</v>
      </c>
      <c r="G204" s="18">
        <f>25059.63+679.04+38.25+167.08+180.15+74606.15+9250</f>
        <v>109980.3</v>
      </c>
      <c r="H204" s="18">
        <f>5688.11+27422.35+607991.04+4481.97</f>
        <v>645583.47</v>
      </c>
      <c r="I204" s="18">
        <f>9512.38+1593.25</f>
        <v>11105.63</v>
      </c>
      <c r="J204" s="18">
        <v>807</v>
      </c>
      <c r="K204" s="18">
        <f>18637.26+4793.48+483.52</f>
        <v>23914.26</v>
      </c>
      <c r="L204" s="19">
        <f t="shared" si="0"/>
        <v>979758.47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860705.53</f>
        <v>860705.53</v>
      </c>
      <c r="G205" s="18">
        <f>342954.65</f>
        <v>342954.65</v>
      </c>
      <c r="H205" s="18">
        <f>40609.57</f>
        <v>40609.57</v>
      </c>
      <c r="I205" s="18">
        <f>3457.32</f>
        <v>3457.32</v>
      </c>
      <c r="J205" s="18"/>
      <c r="K205" s="18">
        <v>2429</v>
      </c>
      <c r="L205" s="19">
        <f t="shared" si="0"/>
        <v>1250156.0700000003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7397.04</v>
      </c>
      <c r="I206" s="18"/>
      <c r="J206" s="18"/>
      <c r="K206" s="18">
        <v>902.8</v>
      </c>
      <c r="L206" s="19">
        <f t="shared" si="0"/>
        <v>8299.84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543788.93999999994</v>
      </c>
      <c r="G207" s="18">
        <v>278697.36</v>
      </c>
      <c r="H207" s="18">
        <f>296367.17+26982.61</f>
        <v>323349.77999999997</v>
      </c>
      <c r="I207" s="18">
        <v>373953.97</v>
      </c>
      <c r="J207" s="18">
        <v>3216.43</v>
      </c>
      <c r="K207" s="18">
        <v>3419.85</v>
      </c>
      <c r="L207" s="19">
        <f t="shared" si="0"/>
        <v>1526426.3299999998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326527+395913.74+16900.3</f>
        <v>739341.04</v>
      </c>
      <c r="I208" s="18"/>
      <c r="J208" s="18"/>
      <c r="K208" s="18"/>
      <c r="L208" s="19">
        <f t="shared" si="0"/>
        <v>739341.04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19517.67+106373.63</f>
        <v>125891.3</v>
      </c>
      <c r="G209" s="18">
        <f>2825.69+41352.75</f>
        <v>44178.44</v>
      </c>
      <c r="H209" s="18">
        <f>4351.39+5752.35+27844.46</f>
        <v>37948.199999999997</v>
      </c>
      <c r="I209" s="18">
        <f>2136.7+78510.96</f>
        <v>80647.66</v>
      </c>
      <c r="J209" s="18">
        <v>252703.28</v>
      </c>
      <c r="K209" s="18"/>
      <c r="L209" s="19">
        <f>SUM(F209:K209)</f>
        <v>541368.88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12871482.439999998</v>
      </c>
      <c r="G211" s="41">
        <f t="shared" si="1"/>
        <v>5324090.4500000011</v>
      </c>
      <c r="H211" s="41">
        <f t="shared" si="1"/>
        <v>2877597.1100000003</v>
      </c>
      <c r="I211" s="41">
        <f t="shared" si="1"/>
        <v>813573.77</v>
      </c>
      <c r="J211" s="41">
        <f t="shared" si="1"/>
        <v>297545.89</v>
      </c>
      <c r="K211" s="41">
        <f t="shared" si="1"/>
        <v>54899.26</v>
      </c>
      <c r="L211" s="41">
        <f t="shared" si="1"/>
        <v>22239188.919999998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2774682.77</v>
      </c>
      <c r="G215" s="18">
        <v>1308339.8899999999</v>
      </c>
      <c r="H215" s="18">
        <v>3628</v>
      </c>
      <c r="I215" s="18">
        <v>80655.23</v>
      </c>
      <c r="J215" s="18">
        <v>13312.14</v>
      </c>
      <c r="K215" s="18">
        <v>4929.42</v>
      </c>
      <c r="L215" s="19">
        <f>SUM(F215:K215)</f>
        <v>4185547.45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1042680.05+40499.94</f>
        <v>1083179.99</v>
      </c>
      <c r="G216" s="18">
        <f>465158.35+27194.06</f>
        <v>492352.41</v>
      </c>
      <c r="H216" s="18">
        <v>745181.09</v>
      </c>
      <c r="I216" s="18">
        <v>7713.97</v>
      </c>
      <c r="J216" s="18">
        <v>2034.75</v>
      </c>
      <c r="K216" s="18"/>
      <c r="L216" s="19">
        <f>SUM(F216:K216)</f>
        <v>2330462.21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37618+34601.5+6603.18</f>
        <v>78822.679999999993</v>
      </c>
      <c r="G218" s="18">
        <f>8073.47+6522.01+1513.56</f>
        <v>16109.039999999999</v>
      </c>
      <c r="H218" s="18">
        <f>3600+6280.5</f>
        <v>9880.5</v>
      </c>
      <c r="I218" s="18">
        <f>4641.91+7424</f>
        <v>12065.91</v>
      </c>
      <c r="J218" s="18"/>
      <c r="K218" s="18">
        <f>211+1630</f>
        <v>1841</v>
      </c>
      <c r="L218" s="19">
        <f>SUM(F218:K218)</f>
        <v>118719.12999999999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4917.12+197838.84+68792.44+141273.08+30349.2+65262.96</f>
        <v>508433.64</v>
      </c>
      <c r="G220" s="18">
        <f>403.78+101778.58+35281.09+65608.1+16395.26+15518.77</f>
        <v>234985.58000000002</v>
      </c>
      <c r="H220" s="18">
        <f>11581.06+12500+78896.07+7209</f>
        <v>110186.13</v>
      </c>
      <c r="I220" s="18">
        <f>144.4+2038.57+2781.63+119.3</f>
        <v>5083.9000000000005</v>
      </c>
      <c r="J220" s="18">
        <v>100</v>
      </c>
      <c r="K220" s="18">
        <f>155.99+150</f>
        <v>305.99</v>
      </c>
      <c r="L220" s="19">
        <f t="shared" ref="L220:L226" si="2">SUM(F220:K220)</f>
        <v>859095.24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3000+3675+29537.46+107263</f>
        <v>143475.46</v>
      </c>
      <c r="G221" s="18">
        <f>716.37+877.57+20135.32+47903.52</f>
        <v>69632.78</v>
      </c>
      <c r="H221" s="18">
        <f>2000+23222.4+992.08+19643.23+1240.74</f>
        <v>47098.450000000004</v>
      </c>
      <c r="I221" s="18">
        <f>80.96+530.83+23286.76+7812.78+6</f>
        <v>31717.329999999998</v>
      </c>
      <c r="J221" s="18">
        <v>5260.56</v>
      </c>
      <c r="K221" s="18">
        <f>2168.53+375</f>
        <v>2543.5300000000002</v>
      </c>
      <c r="L221" s="19">
        <f t="shared" si="2"/>
        <v>299728.11000000004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4470.45+1100+1200+96286.96</f>
        <v>103057.41</v>
      </c>
      <c r="G222" s="18">
        <f>12895.8+367.05+90.32+97.4+41287.69+5000</f>
        <v>59738.26</v>
      </c>
      <c r="H222" s="18">
        <f>3074.65+17125.1+328643.8</f>
        <v>348843.55</v>
      </c>
      <c r="I222" s="18">
        <f>5141.86</f>
        <v>5141.8599999999997</v>
      </c>
      <c r="J222" s="18"/>
      <c r="K222" s="18">
        <f>5866.67+2591.08+261.36</f>
        <v>8719.11</v>
      </c>
      <c r="L222" s="19">
        <f t="shared" si="2"/>
        <v>525500.18999999994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339275.96</f>
        <v>339275.96</v>
      </c>
      <c r="G223" s="18">
        <v>142768.59</v>
      </c>
      <c r="H223" s="18">
        <f>27940.87+500</f>
        <v>28440.87</v>
      </c>
      <c r="I223" s="18">
        <f>16.45</f>
        <v>16.45</v>
      </c>
      <c r="J223" s="18"/>
      <c r="K223" s="18">
        <v>2183.9899999999998</v>
      </c>
      <c r="L223" s="19">
        <f t="shared" si="2"/>
        <v>512685.86000000004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>
        <v>3998.4</v>
      </c>
      <c r="I224" s="18"/>
      <c r="J224" s="18"/>
      <c r="K224" s="18"/>
      <c r="L224" s="19">
        <f t="shared" si="2"/>
        <v>3998.4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307831.99+2516.94</f>
        <v>310348.93</v>
      </c>
      <c r="G225" s="18">
        <f>134435.5+537.89</f>
        <v>134973.39000000001</v>
      </c>
      <c r="H225" s="18">
        <f>135759.35+3013.75+2544.01</f>
        <v>141317.11000000002</v>
      </c>
      <c r="I225" s="18">
        <f>270182.94</f>
        <v>270182.94</v>
      </c>
      <c r="J225" s="18">
        <v>5511.5</v>
      </c>
      <c r="K225" s="18">
        <v>1808.25</v>
      </c>
      <c r="L225" s="19">
        <f t="shared" si="2"/>
        <v>864142.12000000011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2534.54</v>
      </c>
      <c r="G226" s="18">
        <v>333.51</v>
      </c>
      <c r="H226" s="18">
        <f>168426+184000.2+17500+8442.86</f>
        <v>378369.06</v>
      </c>
      <c r="I226" s="18"/>
      <c r="J226" s="18"/>
      <c r="K226" s="18"/>
      <c r="L226" s="19">
        <f t="shared" si="2"/>
        <v>381237.11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5777.55+84788.8</f>
        <v>90566.35</v>
      </c>
      <c r="G227" s="18">
        <f>1099.23+39535.8</f>
        <v>40635.030000000006</v>
      </c>
      <c r="H227" s="18">
        <f>275.8+3647.36+16953.81</f>
        <v>20876.97</v>
      </c>
      <c r="I227" s="18">
        <f>1151.81+39705.48</f>
        <v>40857.29</v>
      </c>
      <c r="J227" s="18">
        <v>219722.51</v>
      </c>
      <c r="K227" s="18"/>
      <c r="L227" s="19">
        <f>SUM(F227:K227)</f>
        <v>412658.15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5434377.7299999995</v>
      </c>
      <c r="G229" s="41">
        <f>SUM(G215:G228)</f>
        <v>2499868.4799999991</v>
      </c>
      <c r="H229" s="41">
        <f>SUM(H215:H228)</f>
        <v>1837820.1300000001</v>
      </c>
      <c r="I229" s="41">
        <f>SUM(I215:I228)</f>
        <v>453434.87999999995</v>
      </c>
      <c r="J229" s="41">
        <f>SUM(J215:J228)</f>
        <v>245941.46000000002</v>
      </c>
      <c r="K229" s="41">
        <f t="shared" si="3"/>
        <v>22331.29</v>
      </c>
      <c r="L229" s="41">
        <f t="shared" si="3"/>
        <v>10493773.970000001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5481546.4000000004</v>
      </c>
      <c r="G233" s="18">
        <v>2437638.7799999998</v>
      </c>
      <c r="H233" s="18">
        <v>29928.93</v>
      </c>
      <c r="I233" s="18">
        <v>158701.35999999999</v>
      </c>
      <c r="J233" s="18">
        <v>49337.43</v>
      </c>
      <c r="K233" s="18">
        <v>9640.84</v>
      </c>
      <c r="L233" s="19">
        <f>SUM(F233:K233)</f>
        <v>8166793.7399999993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1797655.65</v>
      </c>
      <c r="G234" s="18">
        <v>788548.14</v>
      </c>
      <c r="H234" s="18">
        <v>1343933.12</v>
      </c>
      <c r="I234" s="18">
        <v>10943.87</v>
      </c>
      <c r="J234" s="18">
        <v>1544.35</v>
      </c>
      <c r="K234" s="18"/>
      <c r="L234" s="19">
        <f>SUM(F234:K234)</f>
        <v>3942625.1300000004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856193</v>
      </c>
      <c r="G235" s="18">
        <v>399926.17</v>
      </c>
      <c r="H235" s="18">
        <v>16327.85</v>
      </c>
      <c r="I235" s="18">
        <v>44768.03</v>
      </c>
      <c r="J235" s="18">
        <v>10576.72</v>
      </c>
      <c r="K235" s="18">
        <v>424</v>
      </c>
      <c r="L235" s="19">
        <f>SUM(F235:K235)</f>
        <v>1328215.77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67975.74+280589.88+7406.25</f>
        <v>355971.87</v>
      </c>
      <c r="G236" s="18">
        <f>14419.17+80620.73+1768.63</f>
        <v>96808.53</v>
      </c>
      <c r="H236" s="18">
        <f>2518.89+102570.53</f>
        <v>105089.42</v>
      </c>
      <c r="I236" s="18">
        <f>2160+24922.2</f>
        <v>27082.2</v>
      </c>
      <c r="J236" s="18">
        <v>30555.51</v>
      </c>
      <c r="K236" s="18">
        <f>8415.51</f>
        <v>8415.51</v>
      </c>
      <c r="L236" s="19">
        <f>SUM(F236:K236)</f>
        <v>623923.04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10571.6+462185.58+132231.84+75646.81+49500.08+30134.22+251209.52</f>
        <v>1011479.65</v>
      </c>
      <c r="G238" s="18">
        <f>868.14+225299.86+69520.44+18422.33+20244.14+2474.31+99638.31</f>
        <v>436467.53</v>
      </c>
      <c r="H238" s="18">
        <f>2804.34+4491.98+18316+3811.75+70970.68</f>
        <v>100394.75</v>
      </c>
      <c r="I238" s="18">
        <f>779.19+2120.96+2128.41+389.49</f>
        <v>5418.0499999999993</v>
      </c>
      <c r="J238" s="18">
        <f>397.01+869.9</f>
        <v>1266.9099999999999</v>
      </c>
      <c r="K238" s="18">
        <f>200+195</f>
        <v>395</v>
      </c>
      <c r="L238" s="19">
        <f t="shared" ref="L238:L244" si="4">SUM(F238:K238)</f>
        <v>1555421.8900000001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4500+20400+28923.82+126906.91</f>
        <v>180730.73</v>
      </c>
      <c r="G239" s="18">
        <f>1074.59+4858.15+36084.63+78973.89</f>
        <v>120991.26</v>
      </c>
      <c r="H239" s="18">
        <f>8070+46804.29+2000.42+683.64+46414.95</f>
        <v>103973.29999999999</v>
      </c>
      <c r="I239" s="18">
        <f>2765.35+1141.3+49317.73+25.79</f>
        <v>53250.170000000006</v>
      </c>
      <c r="J239" s="18">
        <f>4895.4</f>
        <v>4895.3999999999996</v>
      </c>
      <c r="K239" s="18">
        <f>2323+265</f>
        <v>2588</v>
      </c>
      <c r="L239" s="19">
        <f t="shared" si="4"/>
        <v>466428.86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9611.55+2365+2580+156419.86</f>
        <v>170976.40999999997</v>
      </c>
      <c r="G240" s="18">
        <f>27725.98+789.11+194.16+209.45+49054.65+10750</f>
        <v>88723.35</v>
      </c>
      <c r="H240" s="18">
        <f>6610.51+50570.58+706584.16</f>
        <v>763765.25</v>
      </c>
      <c r="I240" s="18">
        <f>12488.84</f>
        <v>12488.84</v>
      </c>
      <c r="J240" s="18"/>
      <c r="K240" s="18">
        <f>1282.81+5556.96+561.92</f>
        <v>7401.6900000000005</v>
      </c>
      <c r="L240" s="19">
        <f t="shared" si="4"/>
        <v>1043355.5399999999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810047.12</v>
      </c>
      <c r="G241" s="18">
        <v>331410.33</v>
      </c>
      <c r="H241" s="18">
        <f>100925.17</f>
        <v>100925.17</v>
      </c>
      <c r="I241" s="18">
        <f>17112.78+12880.44</f>
        <v>29993.22</v>
      </c>
      <c r="J241" s="18">
        <v>34720.43</v>
      </c>
      <c r="K241" s="18">
        <v>7071.15</v>
      </c>
      <c r="L241" s="19">
        <f t="shared" si="4"/>
        <v>1314167.4199999997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8596.56</v>
      </c>
      <c r="I242" s="18"/>
      <c r="J242" s="18"/>
      <c r="K242" s="18"/>
      <c r="L242" s="19">
        <f t="shared" si="4"/>
        <v>8596.56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660233.28+98340+9579.51+3801.75</f>
        <v>771954.54</v>
      </c>
      <c r="G243" s="18">
        <f>288972.99+55865.46+1050.91+806.39</f>
        <v>346695.75</v>
      </c>
      <c r="H243" s="18">
        <f>369063.3+81988.51+84658+962</f>
        <v>536671.81000000006</v>
      </c>
      <c r="I243" s="18">
        <f>526166.11+23160.15</f>
        <v>549326.26</v>
      </c>
      <c r="J243" s="18">
        <f>68173.02+7343.9</f>
        <v>75516.92</v>
      </c>
      <c r="K243" s="18">
        <v>3322.1</v>
      </c>
      <c r="L243" s="19">
        <f t="shared" si="4"/>
        <v>2283487.3800000004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362115+236941.5+1749.99+133308+14480.02</f>
        <v>748594.51</v>
      </c>
      <c r="I244" s="18"/>
      <c r="J244" s="18"/>
      <c r="K244" s="18"/>
      <c r="L244" s="19">
        <f t="shared" si="4"/>
        <v>748594.51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13729.71+98746.14</f>
        <v>112475.85</v>
      </c>
      <c r="G245" s="18">
        <f>2480.32+34318.9</f>
        <v>36799.22</v>
      </c>
      <c r="H245" s="18">
        <f>592.97+6800.85+28266.86</f>
        <v>35660.68</v>
      </c>
      <c r="I245" s="18">
        <f>2486.38+84864.04</f>
        <v>87350.42</v>
      </c>
      <c r="J245" s="18">
        <v>220598.19</v>
      </c>
      <c r="K245" s="18"/>
      <c r="L245" s="19">
        <f>SUM(F245:K245)</f>
        <v>492884.36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11549031.220000001</v>
      </c>
      <c r="G247" s="41">
        <f t="shared" si="5"/>
        <v>5084009.0599999987</v>
      </c>
      <c r="H247" s="41">
        <f t="shared" si="5"/>
        <v>3893861.35</v>
      </c>
      <c r="I247" s="41">
        <f t="shared" si="5"/>
        <v>979322.42</v>
      </c>
      <c r="J247" s="41">
        <f t="shared" si="5"/>
        <v>429011.86</v>
      </c>
      <c r="K247" s="41">
        <f t="shared" si="5"/>
        <v>39258.29</v>
      </c>
      <c r="L247" s="41">
        <f t="shared" si="5"/>
        <v>21974494.199999996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1021698.08+595246.4</f>
        <v>1616944.48</v>
      </c>
      <c r="I255" s="18"/>
      <c r="J255" s="18"/>
      <c r="K255" s="18">
        <v>1922</v>
      </c>
      <c r="L255" s="19">
        <f t="shared" si="6"/>
        <v>1618866.48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1616944.48</v>
      </c>
      <c r="I256" s="41">
        <f t="shared" si="7"/>
        <v>0</v>
      </c>
      <c r="J256" s="41">
        <f t="shared" si="7"/>
        <v>0</v>
      </c>
      <c r="K256" s="41">
        <f t="shared" si="7"/>
        <v>1922</v>
      </c>
      <c r="L256" s="41">
        <f>SUM(F256:K256)</f>
        <v>1618866.48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29854891.390000001</v>
      </c>
      <c r="G257" s="41">
        <f t="shared" si="8"/>
        <v>12907967.989999998</v>
      </c>
      <c r="H257" s="41">
        <f t="shared" si="8"/>
        <v>10226223.07</v>
      </c>
      <c r="I257" s="41">
        <f t="shared" si="8"/>
        <v>2246331.0699999998</v>
      </c>
      <c r="J257" s="41">
        <f t="shared" si="8"/>
        <v>972499.21000000008</v>
      </c>
      <c r="K257" s="41">
        <f t="shared" si="8"/>
        <v>118410.84</v>
      </c>
      <c r="L257" s="41">
        <f t="shared" si="8"/>
        <v>56326323.569999993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2842700.5</v>
      </c>
      <c r="L260" s="19">
        <f>SUM(F260:K260)</f>
        <v>2842700.5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734045.75</v>
      </c>
      <c r="L261" s="19">
        <f>SUM(F261:K261)</f>
        <v>734045.75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100001</v>
      </c>
      <c r="L266" s="19">
        <f t="shared" si="9"/>
        <v>100001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3676747.25</v>
      </c>
      <c r="L270" s="41">
        <f t="shared" si="9"/>
        <v>3676747.25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29854891.390000001</v>
      </c>
      <c r="G271" s="42">
        <f t="shared" si="11"/>
        <v>12907967.989999998</v>
      </c>
      <c r="H271" s="42">
        <f t="shared" si="11"/>
        <v>10226223.07</v>
      </c>
      <c r="I271" s="42">
        <f t="shared" si="11"/>
        <v>2246331.0699999998</v>
      </c>
      <c r="J271" s="42">
        <f t="shared" si="11"/>
        <v>972499.21000000008</v>
      </c>
      <c r="K271" s="42">
        <f t="shared" si="11"/>
        <v>3795158.09</v>
      </c>
      <c r="L271" s="42">
        <f t="shared" si="11"/>
        <v>60003070.819999993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345816.69</v>
      </c>
      <c r="G276" s="18">
        <v>86840.35</v>
      </c>
      <c r="H276" s="18">
        <v>2222.42</v>
      </c>
      <c r="I276" s="18">
        <v>14358.14</v>
      </c>
      <c r="J276" s="18">
        <f>5758+27935</f>
        <v>33693</v>
      </c>
      <c r="K276" s="18">
        <v>1074.75</v>
      </c>
      <c r="L276" s="19">
        <f>SUM(F276:K276)</f>
        <v>484005.35000000003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65287.96</v>
      </c>
      <c r="G277" s="18">
        <v>15451.24</v>
      </c>
      <c r="H277" s="18"/>
      <c r="I277" s="18">
        <v>3978.6</v>
      </c>
      <c r="J277" s="18"/>
      <c r="K277" s="18"/>
      <c r="L277" s="19">
        <f>SUM(F277:K277)</f>
        <v>84717.8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20366</v>
      </c>
      <c r="G279" s="18">
        <v>2850.39</v>
      </c>
      <c r="H279" s="18">
        <f>875+8250</f>
        <v>9125</v>
      </c>
      <c r="I279" s="18">
        <v>1384.01</v>
      </c>
      <c r="J279" s="18">
        <v>1000.01</v>
      </c>
      <c r="K279" s="18">
        <v>952.46</v>
      </c>
      <c r="L279" s="19">
        <f>SUM(F279:K279)</f>
        <v>35677.870000000003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2012.5+40099.98+6778.66+5841.07</f>
        <v>54732.21</v>
      </c>
      <c r="G281" s="18">
        <f>165.27+13989.96+614.46+489.4</f>
        <v>15259.089999999998</v>
      </c>
      <c r="H281" s="18">
        <f>31.38+950</f>
        <v>981.38</v>
      </c>
      <c r="I281" s="18">
        <v>4124.17</v>
      </c>
      <c r="J281" s="18"/>
      <c r="K281" s="18">
        <v>3198.28</v>
      </c>
      <c r="L281" s="19">
        <f t="shared" ref="L281:L287" si="12">SUM(F281:K281)</f>
        <v>78295.13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10632.63+90387.9+66235+23535.44</f>
        <v>190790.97</v>
      </c>
      <c r="G282" s="18">
        <f>1172.45+49517.8+34155.36+5408.41</f>
        <v>90254.02</v>
      </c>
      <c r="H282" s="18">
        <f>24063.75+85476.88</f>
        <v>109540.63</v>
      </c>
      <c r="I282" s="18">
        <v>1310.81</v>
      </c>
      <c r="J282" s="18"/>
      <c r="K282" s="18"/>
      <c r="L282" s="19">
        <f t="shared" si="12"/>
        <v>391896.43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54340.34</v>
      </c>
      <c r="G283" s="18">
        <v>29827.599999999999</v>
      </c>
      <c r="H283" s="18">
        <f>2345.43</f>
        <v>2345.4299999999998</v>
      </c>
      <c r="I283" s="18"/>
      <c r="J283" s="18"/>
      <c r="K283" s="18"/>
      <c r="L283" s="19">
        <f t="shared" si="12"/>
        <v>86513.37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42562.95+10291.06</f>
        <v>52854.009999999995</v>
      </c>
      <c r="L285" s="19">
        <f t="shared" si="12"/>
        <v>52854.009999999995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600</v>
      </c>
      <c r="I287" s="18"/>
      <c r="J287" s="18"/>
      <c r="K287" s="18"/>
      <c r="L287" s="19">
        <f t="shared" si="12"/>
        <v>600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731334.17</v>
      </c>
      <c r="G290" s="42">
        <f t="shared" si="13"/>
        <v>240482.69000000003</v>
      </c>
      <c r="H290" s="42">
        <f t="shared" si="13"/>
        <v>124814.86</v>
      </c>
      <c r="I290" s="42">
        <f t="shared" si="13"/>
        <v>25155.73</v>
      </c>
      <c r="J290" s="42">
        <f t="shared" si="13"/>
        <v>34693.01</v>
      </c>
      <c r="K290" s="42">
        <f t="shared" si="13"/>
        <v>58079.499999999993</v>
      </c>
      <c r="L290" s="41">
        <f t="shared" si="13"/>
        <v>1214559.9600000002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259.93</v>
      </c>
      <c r="J295" s="18">
        <f>15100</f>
        <v>15100</v>
      </c>
      <c r="K295" s="18"/>
      <c r="L295" s="19">
        <f>SUM(F295:K295)</f>
        <v>15359.93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>
        <v>1100</v>
      </c>
      <c r="J296" s="18"/>
      <c r="K296" s="18"/>
      <c r="L296" s="19">
        <f>SUM(F296:K296)</f>
        <v>1100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65</v>
      </c>
      <c r="J298" s="18"/>
      <c r="K298" s="18">
        <v>225</v>
      </c>
      <c r="L298" s="19">
        <f>SUM(F298:K298)</f>
        <v>290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12721.86</f>
        <v>12721.86</v>
      </c>
      <c r="G301" s="18">
        <f>2923.46</f>
        <v>2923.46</v>
      </c>
      <c r="H301" s="18">
        <f>2704.57+46203.72</f>
        <v>48908.29</v>
      </c>
      <c r="I301" s="18"/>
      <c r="J301" s="18"/>
      <c r="K301" s="18"/>
      <c r="L301" s="19">
        <f t="shared" si="14"/>
        <v>64553.61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f>5562.73</f>
        <v>5562.73</v>
      </c>
      <c r="L304" s="19">
        <f t="shared" si="14"/>
        <v>5562.73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>
        <v>332.62</v>
      </c>
      <c r="J307" s="18"/>
      <c r="K307" s="18"/>
      <c r="L307" s="19">
        <f>SUM(F307:K307)</f>
        <v>332.62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12721.86</v>
      </c>
      <c r="G309" s="42">
        <f t="shared" si="15"/>
        <v>2923.46</v>
      </c>
      <c r="H309" s="42">
        <f t="shared" si="15"/>
        <v>48908.29</v>
      </c>
      <c r="I309" s="42">
        <f t="shared" si="15"/>
        <v>1757.5500000000002</v>
      </c>
      <c r="J309" s="42">
        <f t="shared" si="15"/>
        <v>15100</v>
      </c>
      <c r="K309" s="42">
        <f t="shared" si="15"/>
        <v>5787.73</v>
      </c>
      <c r="L309" s="41">
        <f t="shared" si="15"/>
        <v>87198.89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185060.84</v>
      </c>
      <c r="I314" s="18">
        <v>401.21</v>
      </c>
      <c r="J314" s="18">
        <f>91153.98+32465</f>
        <v>123618.98</v>
      </c>
      <c r="K314" s="18"/>
      <c r="L314" s="19">
        <f>SUM(F314:K314)</f>
        <v>309081.02999999997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66796</v>
      </c>
      <c r="G315" s="18">
        <v>34295.47</v>
      </c>
      <c r="H315" s="18"/>
      <c r="I315" s="18">
        <v>2365</v>
      </c>
      <c r="J315" s="18"/>
      <c r="K315" s="18"/>
      <c r="L315" s="19">
        <f>SUM(F315:K315)</f>
        <v>103456.47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13675.5</v>
      </c>
      <c r="G316" s="18">
        <v>2803.47</v>
      </c>
      <c r="H316" s="18">
        <v>1253.75</v>
      </c>
      <c r="I316" s="18">
        <v>22820.74</v>
      </c>
      <c r="J316" s="18">
        <v>37473.279999999999</v>
      </c>
      <c r="K316" s="18">
        <v>4971</v>
      </c>
      <c r="L316" s="19">
        <f>SUM(F316:K316)</f>
        <v>82997.740000000005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400+2025</f>
        <v>2425</v>
      </c>
      <c r="G317" s="18">
        <f>95.52+483.57</f>
        <v>579.09</v>
      </c>
      <c r="H317" s="18">
        <f>400+687.2</f>
        <v>1087.2</v>
      </c>
      <c r="I317" s="18">
        <v>5789.05</v>
      </c>
      <c r="J317" s="18"/>
      <c r="K317" s="18">
        <v>320</v>
      </c>
      <c r="L317" s="19">
        <f>SUM(F317:K317)</f>
        <v>10200.34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37360.99+25+32864+61731</f>
        <v>131980.99</v>
      </c>
      <c r="G319" s="18">
        <f>15993.46+2.05+17116.52+28630.08</f>
        <v>61742.11</v>
      </c>
      <c r="H319" s="18">
        <f>3506.01+127.76</f>
        <v>3633.7700000000004</v>
      </c>
      <c r="I319" s="18"/>
      <c r="J319" s="18"/>
      <c r="K319" s="18"/>
      <c r="L319" s="19">
        <f t="shared" ref="L319:L325" si="16">SUM(F319:K319)</f>
        <v>197356.86999999997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1150+37016.1+738.03+27352</f>
        <v>66256.13</v>
      </c>
      <c r="G320" s="18">
        <f>274.63+20797.49+143.01+6285.45</f>
        <v>27500.58</v>
      </c>
      <c r="H320" s="18">
        <f>32278.29+99338</f>
        <v>131616.29</v>
      </c>
      <c r="I320" s="18">
        <v>910.29</v>
      </c>
      <c r="J320" s="18"/>
      <c r="K320" s="18"/>
      <c r="L320" s="19">
        <f t="shared" si="16"/>
        <v>226283.29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f>875</f>
        <v>875</v>
      </c>
      <c r="G321" s="18">
        <v>197.11</v>
      </c>
      <c r="H321" s="18">
        <f>42816</f>
        <v>42816</v>
      </c>
      <c r="I321" s="18"/>
      <c r="J321" s="18"/>
      <c r="K321" s="18">
        <v>5185.87</v>
      </c>
      <c r="L321" s="19">
        <f t="shared" si="16"/>
        <v>49073.98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f>19997.53+11959.88</f>
        <v>31957.409999999996</v>
      </c>
      <c r="L323" s="19">
        <f t="shared" si="16"/>
        <v>31957.409999999996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5319</v>
      </c>
      <c r="G324" s="18">
        <v>436.73</v>
      </c>
      <c r="H324" s="18">
        <f>51723.31+1800</f>
        <v>53523.31</v>
      </c>
      <c r="I324" s="18"/>
      <c r="J324" s="18"/>
      <c r="K324" s="18"/>
      <c r="L324" s="19">
        <f t="shared" si="16"/>
        <v>59279.039999999994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3697.4</v>
      </c>
      <c r="I325" s="18"/>
      <c r="J325" s="18"/>
      <c r="K325" s="18"/>
      <c r="L325" s="19">
        <f t="shared" si="16"/>
        <v>3697.4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287327.62</v>
      </c>
      <c r="G328" s="42">
        <f t="shared" si="17"/>
        <v>127554.56</v>
      </c>
      <c r="H328" s="42">
        <f t="shared" si="17"/>
        <v>422688.56</v>
      </c>
      <c r="I328" s="42">
        <f t="shared" si="17"/>
        <v>32286.29</v>
      </c>
      <c r="J328" s="42">
        <f t="shared" si="17"/>
        <v>161092.26</v>
      </c>
      <c r="K328" s="42">
        <f t="shared" si="17"/>
        <v>42434.28</v>
      </c>
      <c r="L328" s="41">
        <f t="shared" si="17"/>
        <v>1073383.5699999998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f>8198</f>
        <v>8198</v>
      </c>
      <c r="I332" s="18"/>
      <c r="J332" s="18"/>
      <c r="K332" s="18"/>
      <c r="L332" s="19">
        <f t="shared" ref="L332:L337" si="18">SUM(F332:K332)</f>
        <v>8198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282887.8</v>
      </c>
      <c r="G333" s="18">
        <v>77897.59</v>
      </c>
      <c r="H333" s="18">
        <v>55641.26</v>
      </c>
      <c r="I333" s="18">
        <v>22582.37</v>
      </c>
      <c r="J333" s="18">
        <v>287.54000000000002</v>
      </c>
      <c r="K333" s="18">
        <v>10138.43</v>
      </c>
      <c r="L333" s="19">
        <f t="shared" si="18"/>
        <v>449434.99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>
        <v>31248.26</v>
      </c>
      <c r="K336" s="18"/>
      <c r="L336" s="19">
        <f t="shared" si="18"/>
        <v>31248.26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282887.8</v>
      </c>
      <c r="G337" s="41">
        <f t="shared" si="19"/>
        <v>77897.59</v>
      </c>
      <c r="H337" s="41">
        <f t="shared" si="19"/>
        <v>63839.26</v>
      </c>
      <c r="I337" s="41">
        <f t="shared" si="19"/>
        <v>22582.37</v>
      </c>
      <c r="J337" s="41">
        <f t="shared" si="19"/>
        <v>31535.8</v>
      </c>
      <c r="K337" s="41">
        <f t="shared" si="19"/>
        <v>10138.43</v>
      </c>
      <c r="L337" s="41">
        <f t="shared" si="18"/>
        <v>488881.25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1314271.45</v>
      </c>
      <c r="G338" s="41">
        <f t="shared" si="20"/>
        <v>448858.30000000005</v>
      </c>
      <c r="H338" s="41">
        <f t="shared" si="20"/>
        <v>660250.97</v>
      </c>
      <c r="I338" s="41">
        <f t="shared" si="20"/>
        <v>81781.94</v>
      </c>
      <c r="J338" s="41">
        <f t="shared" si="20"/>
        <v>242421.07</v>
      </c>
      <c r="K338" s="41">
        <f t="shared" si="20"/>
        <v>116439.94</v>
      </c>
      <c r="L338" s="41">
        <f t="shared" si="20"/>
        <v>2864023.67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92797</v>
      </c>
      <c r="L347" s="19">
        <f t="shared" si="21"/>
        <v>92797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92797</v>
      </c>
      <c r="L351" s="41">
        <f>SUM(L341:L350)</f>
        <v>92797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1314271.45</v>
      </c>
      <c r="G352" s="41">
        <f>G338</f>
        <v>448858.30000000005</v>
      </c>
      <c r="H352" s="41">
        <f>H338</f>
        <v>660250.97</v>
      </c>
      <c r="I352" s="41">
        <f>I338</f>
        <v>81781.94</v>
      </c>
      <c r="J352" s="41">
        <f>J338</f>
        <v>242421.07</v>
      </c>
      <c r="K352" s="47">
        <f>K338+K351</f>
        <v>209236.94</v>
      </c>
      <c r="L352" s="41">
        <f>L338+L351</f>
        <v>2956820.67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143504.20000000001</v>
      </c>
      <c r="G358" s="18">
        <v>35074.03</v>
      </c>
      <c r="H358" s="18">
        <v>6744.32</v>
      </c>
      <c r="I358" s="18">
        <v>196889.15</v>
      </c>
      <c r="J358" s="18"/>
      <c r="K358" s="18"/>
      <c r="L358" s="13">
        <f>SUM(F358:K358)</f>
        <v>382211.7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119223.71</v>
      </c>
      <c r="G359" s="18">
        <v>45601.36</v>
      </c>
      <c r="H359" s="18">
        <v>1475.81</v>
      </c>
      <c r="I359" s="18">
        <v>182610.15</v>
      </c>
      <c r="J359" s="18"/>
      <c r="K359" s="18">
        <v>544.99</v>
      </c>
      <c r="L359" s="19">
        <f>SUM(F359:K359)</f>
        <v>349456.02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222476.71</v>
      </c>
      <c r="G360" s="18">
        <v>101177.53</v>
      </c>
      <c r="H360" s="18">
        <v>13960.14</v>
      </c>
      <c r="I360" s="18">
        <v>365189.67</v>
      </c>
      <c r="J360" s="18">
        <v>1995</v>
      </c>
      <c r="K360" s="18">
        <v>354.48</v>
      </c>
      <c r="L360" s="19">
        <f>SUM(F360:K360)</f>
        <v>705153.53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485204.62</v>
      </c>
      <c r="G362" s="47">
        <f t="shared" si="22"/>
        <v>181852.91999999998</v>
      </c>
      <c r="H362" s="47">
        <f t="shared" si="22"/>
        <v>22180.269999999997</v>
      </c>
      <c r="I362" s="47">
        <f t="shared" si="22"/>
        <v>744688.97</v>
      </c>
      <c r="J362" s="47">
        <f t="shared" si="22"/>
        <v>1995</v>
      </c>
      <c r="K362" s="47">
        <f t="shared" si="22"/>
        <v>899.47</v>
      </c>
      <c r="L362" s="47">
        <f t="shared" si="22"/>
        <v>1436821.25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196287.88</v>
      </c>
      <c r="G367" s="18">
        <f>175920.34+1770</f>
        <v>177690.34</v>
      </c>
      <c r="H367" s="18">
        <f>330323.16+4218.75</f>
        <v>334541.90999999997</v>
      </c>
      <c r="I367" s="56">
        <f>SUM(F367:H367)</f>
        <v>708520.12999999989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-403.83+1005.1</f>
        <v>601.27</v>
      </c>
      <c r="G368" s="63">
        <v>4919.8100000000004</v>
      </c>
      <c r="H368" s="63">
        <v>30647.759999999998</v>
      </c>
      <c r="I368" s="56">
        <f>SUM(F368:H368)</f>
        <v>36168.839999999997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196889.15</v>
      </c>
      <c r="G369" s="47">
        <f>SUM(G367:G368)</f>
        <v>182610.15</v>
      </c>
      <c r="H369" s="47">
        <f>SUM(H367:H368)</f>
        <v>365189.67</v>
      </c>
      <c r="I369" s="47">
        <f>SUM(I367:I368)</f>
        <v>744688.96999999986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46655.06</v>
      </c>
      <c r="I378" s="18"/>
      <c r="J378" s="18"/>
      <c r="K378" s="18"/>
      <c r="L378" s="13">
        <f t="shared" si="23"/>
        <v>46655.06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281910.15000000002</v>
      </c>
      <c r="L381" s="13">
        <f t="shared" si="23"/>
        <v>281910.15000000002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46655.06</v>
      </c>
      <c r="I382" s="41">
        <f t="shared" si="24"/>
        <v>0</v>
      </c>
      <c r="J382" s="47">
        <f t="shared" si="24"/>
        <v>0</v>
      </c>
      <c r="K382" s="47">
        <f t="shared" si="24"/>
        <v>281910.15000000002</v>
      </c>
      <c r="L382" s="47">
        <f t="shared" si="24"/>
        <v>328565.21000000002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>
        <f>261.43+3</f>
        <v>264.43</v>
      </c>
      <c r="I396" s="18"/>
      <c r="J396" s="24" t="s">
        <v>289</v>
      </c>
      <c r="K396" s="24" t="s">
        <v>289</v>
      </c>
      <c r="L396" s="56">
        <f t="shared" si="26"/>
        <v>100264.43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</v>
      </c>
      <c r="H397" s="18"/>
      <c r="I397" s="18"/>
      <c r="J397" s="24" t="s">
        <v>289</v>
      </c>
      <c r="K397" s="24" t="s">
        <v>289</v>
      </c>
      <c r="L397" s="56">
        <f t="shared" si="26"/>
        <v>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92797</v>
      </c>
      <c r="H400" s="18">
        <f>0.48+386.24+978.46-82.19</f>
        <v>1282.99</v>
      </c>
      <c r="I400" s="18">
        <v>350</v>
      </c>
      <c r="J400" s="24" t="s">
        <v>289</v>
      </c>
      <c r="K400" s="24" t="s">
        <v>289</v>
      </c>
      <c r="L400" s="56">
        <f t="shared" si="26"/>
        <v>94429.99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192798</v>
      </c>
      <c r="H401" s="47">
        <f>SUM(H395:H400)</f>
        <v>1547.42</v>
      </c>
      <c r="I401" s="47">
        <f>SUM(I395:I400)</f>
        <v>350</v>
      </c>
      <c r="J401" s="45" t="s">
        <v>289</v>
      </c>
      <c r="K401" s="45" t="s">
        <v>289</v>
      </c>
      <c r="L401" s="47">
        <f>SUM(L395:L400)</f>
        <v>194695.41999999998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192798</v>
      </c>
      <c r="H408" s="47">
        <f>H393+H401+H407</f>
        <v>1547.42</v>
      </c>
      <c r="I408" s="47">
        <f>I393+I401+I407</f>
        <v>350</v>
      </c>
      <c r="J408" s="24" t="s">
        <v>289</v>
      </c>
      <c r="K408" s="24" t="s">
        <v>289</v>
      </c>
      <c r="L408" s="47">
        <f>L393+L401+L407</f>
        <v>194695.41999999998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4306.92+218.5</f>
        <v>4525.42</v>
      </c>
      <c r="I426" s="18">
        <f>206.94+83.87+15.42</f>
        <v>306.23</v>
      </c>
      <c r="J426" s="18">
        <f>4027</f>
        <v>4027</v>
      </c>
      <c r="K426" s="18"/>
      <c r="L426" s="56">
        <f t="shared" si="29"/>
        <v>8858.65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4525.42</v>
      </c>
      <c r="I427" s="47">
        <f t="shared" si="30"/>
        <v>306.23</v>
      </c>
      <c r="J427" s="47">
        <f t="shared" si="30"/>
        <v>4027</v>
      </c>
      <c r="K427" s="47">
        <f t="shared" si="30"/>
        <v>0</v>
      </c>
      <c r="L427" s="47">
        <f t="shared" si="30"/>
        <v>8858.65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4525.42</v>
      </c>
      <c r="I434" s="47">
        <f t="shared" si="32"/>
        <v>306.23</v>
      </c>
      <c r="J434" s="47">
        <f t="shared" si="32"/>
        <v>4027</v>
      </c>
      <c r="K434" s="47">
        <f t="shared" si="32"/>
        <v>0</v>
      </c>
      <c r="L434" s="47">
        <f t="shared" si="32"/>
        <v>8858.65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623418.05000000005</v>
      </c>
      <c r="H439" s="18"/>
      <c r="I439" s="56">
        <f t="shared" ref="I439:I445" si="33">SUM(F439:H439)</f>
        <v>623418.05000000005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623418.05000000005</v>
      </c>
      <c r="H446" s="13">
        <f>SUM(H439:H445)</f>
        <v>0</v>
      </c>
      <c r="I446" s="13">
        <f>SUM(I439:I445)</f>
        <v>623418.05000000005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623418.05000000005</v>
      </c>
      <c r="H459" s="18"/>
      <c r="I459" s="56">
        <f t="shared" si="34"/>
        <v>623418.05000000005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623418.05000000005</v>
      </c>
      <c r="H460" s="83">
        <f>SUM(H454:H459)</f>
        <v>0</v>
      </c>
      <c r="I460" s="83">
        <f>SUM(I454:I459)</f>
        <v>623418.05000000005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623418.05000000005</v>
      </c>
      <c r="H461" s="42">
        <f>H452+H460</f>
        <v>0</v>
      </c>
      <c r="I461" s="42">
        <f>I452+I460</f>
        <v>623418.05000000005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3163627.25</v>
      </c>
      <c r="G465" s="18">
        <v>211358.95</v>
      </c>
      <c r="H465" s="18">
        <v>318050.64</v>
      </c>
      <c r="I465" s="18">
        <v>328837.21000000002</v>
      </c>
      <c r="J465" s="18">
        <v>437581.28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58999228.340000004</v>
      </c>
      <c r="G468" s="18">
        <v>1518902.47</v>
      </c>
      <c r="H468" s="18">
        <f>2171544.71+140009.8+547255+10615</f>
        <v>2869424.51</v>
      </c>
      <c r="I468" s="18">
        <v>0</v>
      </c>
      <c r="J468" s="18">
        <f>100000+1+92797-82.19+0.48+386.24+978.46+261.43+3+350</f>
        <v>194695.41999999998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v>456.84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58999228.340000004</v>
      </c>
      <c r="G470" s="53">
        <f>SUM(G468:G469)</f>
        <v>1518902.47</v>
      </c>
      <c r="H470" s="53">
        <f>SUM(H468:H469)</f>
        <v>2869881.3499999996</v>
      </c>
      <c r="I470" s="53">
        <f>SUM(I468:I469)</f>
        <v>0</v>
      </c>
      <c r="J470" s="53">
        <f>SUM(J468:J469)</f>
        <v>194695.41999999998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60003070.82</v>
      </c>
      <c r="G472" s="18">
        <v>1436821.25</v>
      </c>
      <c r="H472" s="18">
        <v>2956820.67</v>
      </c>
      <c r="I472" s="18">
        <v>328565.21000000002</v>
      </c>
      <c r="J472" s="18">
        <v>8858.65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60003070.82</v>
      </c>
      <c r="G474" s="53">
        <f>SUM(G472:G473)</f>
        <v>1436821.25</v>
      </c>
      <c r="H474" s="53">
        <f>SUM(H472:H473)</f>
        <v>2956820.67</v>
      </c>
      <c r="I474" s="53">
        <f>SUM(I472:I473)</f>
        <v>328565.21000000002</v>
      </c>
      <c r="J474" s="53">
        <f>SUM(J472:J473)</f>
        <v>8858.65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2159784.7700000033</v>
      </c>
      <c r="G476" s="53">
        <f>(G465+G470)- G474</f>
        <v>293440.16999999993</v>
      </c>
      <c r="H476" s="53">
        <f>(H465+H470)- H474</f>
        <v>231111.31999999983</v>
      </c>
      <c r="I476" s="53">
        <f>(I465+I470)- I474</f>
        <v>272</v>
      </c>
      <c r="J476" s="53">
        <f>(J465+J470)- J474</f>
        <v>623418.04999999993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>
        <v>29</v>
      </c>
      <c r="I490" s="154">
        <v>29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915</v>
      </c>
      <c r="H491" s="155" t="s">
        <v>917</v>
      </c>
      <c r="I491" s="155" t="s">
        <v>919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916</v>
      </c>
      <c r="H492" s="155" t="s">
        <v>918</v>
      </c>
      <c r="I492" s="155" t="s">
        <v>918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17500000</v>
      </c>
      <c r="G493" s="18">
        <v>1225000</v>
      </c>
      <c r="H493" s="18">
        <v>35115529.659999996</v>
      </c>
      <c r="I493" s="18">
        <v>1817970.34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>
        <v>3.79</v>
      </c>
      <c r="H494" s="18">
        <v>4.4400000000000004</v>
      </c>
      <c r="I494" s="18">
        <v>4.4400000000000004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4375000</v>
      </c>
      <c r="G495" s="18">
        <v>240000</v>
      </c>
      <c r="H495" s="18">
        <v>26287945.140000001</v>
      </c>
      <c r="I495" s="18">
        <v>1360956.38</v>
      </c>
      <c r="J495" s="18"/>
      <c r="K495" s="53">
        <f>SUM(F495:J495)</f>
        <v>32263901.52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875000</v>
      </c>
      <c r="G497" s="18">
        <v>120000</v>
      </c>
      <c r="H497" s="18">
        <f>1170030.56+586720.94</f>
        <v>1756751.5</v>
      </c>
      <c r="I497" s="18">
        <f>60573.79+30375.2+0.01</f>
        <v>90949</v>
      </c>
      <c r="J497" s="18"/>
      <c r="K497" s="53">
        <f t="shared" si="35"/>
        <v>2842700.5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3500000</v>
      </c>
      <c r="G498" s="204">
        <v>120000</v>
      </c>
      <c r="H498" s="204">
        <v>24531193.640000001</v>
      </c>
      <c r="I498" s="204">
        <v>1270007.3899999999</v>
      </c>
      <c r="J498" s="204"/>
      <c r="K498" s="205">
        <f t="shared" si="35"/>
        <v>29421201.030000001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367500</v>
      </c>
      <c r="G499" s="18">
        <v>2280</v>
      </c>
      <c r="H499" s="18">
        <v>29476498.829999998</v>
      </c>
      <c r="I499" s="18">
        <v>1526031.39</v>
      </c>
      <c r="J499" s="18"/>
      <c r="K499" s="53">
        <f t="shared" si="35"/>
        <v>31372310.219999999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3867500</v>
      </c>
      <c r="G500" s="42">
        <f>SUM(G498:G499)</f>
        <v>122280</v>
      </c>
      <c r="H500" s="42">
        <f>SUM(H498:H499)</f>
        <v>54007692.469999999</v>
      </c>
      <c r="I500" s="42">
        <f>SUM(I498:I499)</f>
        <v>2796038.78</v>
      </c>
      <c r="J500" s="42">
        <f>SUM(J498:J499)</f>
        <v>0</v>
      </c>
      <c r="K500" s="42">
        <f t="shared" si="35"/>
        <v>60793511.25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875000</v>
      </c>
      <c r="G501" s="204">
        <v>120000</v>
      </c>
      <c r="H501" s="204">
        <f>1122058.54+551497.18</f>
        <v>1673555.7200000002</v>
      </c>
      <c r="I501" s="204">
        <f>58090.23+28551.63</f>
        <v>86641.86</v>
      </c>
      <c r="J501" s="204"/>
      <c r="K501" s="205">
        <f t="shared" si="35"/>
        <v>2755197.58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160781.25</v>
      </c>
      <c r="G502" s="18">
        <v>2280</v>
      </c>
      <c r="H502" s="18">
        <f>373959.67+201441.11</f>
        <v>575400.78</v>
      </c>
      <c r="I502" s="18">
        <f>19360.31+10428.83</f>
        <v>29789.14</v>
      </c>
      <c r="J502" s="18"/>
      <c r="K502" s="53">
        <f t="shared" si="35"/>
        <v>768251.17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1035781.25</v>
      </c>
      <c r="G503" s="42">
        <f>SUM(G501:G502)</f>
        <v>122280</v>
      </c>
      <c r="H503" s="42">
        <f>SUM(H501:H502)</f>
        <v>2248956.5</v>
      </c>
      <c r="I503" s="42">
        <f>SUM(I501:I502)</f>
        <v>116431</v>
      </c>
      <c r="J503" s="42">
        <f>SUM(J501:J502)</f>
        <v>0</v>
      </c>
      <c r="K503" s="42">
        <f t="shared" si="35"/>
        <v>3523448.75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3284755.82</v>
      </c>
      <c r="G521" s="18">
        <v>1155205.02</v>
      </c>
      <c r="H521" s="18">
        <v>702674.64</v>
      </c>
      <c r="I521" s="18">
        <v>25345.91</v>
      </c>
      <c r="J521" s="18">
        <v>11361.71</v>
      </c>
      <c r="K521" s="18"/>
      <c r="L521" s="88">
        <f>SUM(F521:K521)</f>
        <v>5179343.0999999996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1042680.05</v>
      </c>
      <c r="G522" s="18">
        <v>465158.35</v>
      </c>
      <c r="H522" s="18">
        <v>745181.09</v>
      </c>
      <c r="I522" s="18">
        <v>8813.9699999999993</v>
      </c>
      <c r="J522" s="18">
        <v>2034.75</v>
      </c>
      <c r="K522" s="18"/>
      <c r="L522" s="88">
        <f>SUM(F522:K522)</f>
        <v>2263868.21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1864451.65</v>
      </c>
      <c r="G523" s="18">
        <v>822843.61</v>
      </c>
      <c r="H523" s="18">
        <v>1343933.12</v>
      </c>
      <c r="I523" s="18">
        <v>13308.87</v>
      </c>
      <c r="J523" s="18">
        <v>1544.35</v>
      </c>
      <c r="K523" s="18"/>
      <c r="L523" s="88">
        <f>SUM(F523:K523)</f>
        <v>4046081.6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6191887.5199999996</v>
      </c>
      <c r="G524" s="108">
        <f t="shared" ref="G524:L524" si="36">SUM(G521:G523)</f>
        <v>2443206.98</v>
      </c>
      <c r="H524" s="108">
        <f t="shared" si="36"/>
        <v>2791788.85</v>
      </c>
      <c r="I524" s="108">
        <f t="shared" si="36"/>
        <v>47468.75</v>
      </c>
      <c r="J524" s="108">
        <f t="shared" si="36"/>
        <v>14940.81</v>
      </c>
      <c r="K524" s="108">
        <f t="shared" si="36"/>
        <v>0</v>
      </c>
      <c r="L524" s="89">
        <f t="shared" si="36"/>
        <v>11489292.91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1438016.22</v>
      </c>
      <c r="G526" s="18">
        <v>671505.3</v>
      </c>
      <c r="H526" s="18">
        <f>27999.57+316720</f>
        <v>344719.57</v>
      </c>
      <c r="I526" s="18">
        <v>5680.9</v>
      </c>
      <c r="J526" s="18"/>
      <c r="K526" s="18">
        <v>866.66</v>
      </c>
      <c r="L526" s="88">
        <f>SUM(F526:K526)</f>
        <v>2460788.65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236885.24</v>
      </c>
      <c r="G527" s="18">
        <v>97522.13</v>
      </c>
      <c r="H527" s="18">
        <f>15134.9+124899.1</f>
        <v>140034</v>
      </c>
      <c r="I527" s="18">
        <v>2906.93</v>
      </c>
      <c r="J527" s="18"/>
      <c r="K527" s="18"/>
      <c r="L527" s="88">
        <f>SUM(F527:K527)</f>
        <v>477348.3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458312.42</v>
      </c>
      <c r="G528" s="18">
        <v>174556.57</v>
      </c>
      <c r="H528" s="18">
        <f>32540.03+153862.68</f>
        <v>186402.71</v>
      </c>
      <c r="I528" s="18">
        <v>2543.69</v>
      </c>
      <c r="J528" s="18"/>
      <c r="K528" s="18">
        <v>440</v>
      </c>
      <c r="L528" s="88">
        <f>SUM(F528:K528)</f>
        <v>822255.3899999999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2133213.88</v>
      </c>
      <c r="G529" s="89">
        <f t="shared" ref="G529:L529" si="37">SUM(G526:G528)</f>
        <v>943584</v>
      </c>
      <c r="H529" s="89">
        <f t="shared" si="37"/>
        <v>671156.28</v>
      </c>
      <c r="I529" s="89">
        <f t="shared" si="37"/>
        <v>11131.52</v>
      </c>
      <c r="J529" s="89">
        <f t="shared" si="37"/>
        <v>0</v>
      </c>
      <c r="K529" s="89">
        <f t="shared" si="37"/>
        <v>1306.6599999999999</v>
      </c>
      <c r="L529" s="89">
        <f t="shared" si="37"/>
        <v>3760392.34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159917.56</v>
      </c>
      <c r="G531" s="18">
        <v>70926.240000000005</v>
      </c>
      <c r="H531" s="18">
        <v>4481.97</v>
      </c>
      <c r="I531" s="18">
        <v>1593.25</v>
      </c>
      <c r="J531" s="18">
        <v>807</v>
      </c>
      <c r="K531" s="18">
        <v>12880.23</v>
      </c>
      <c r="L531" s="88">
        <f>SUM(F531:K531)</f>
        <v>250606.25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70986.960000000006</v>
      </c>
      <c r="G532" s="18">
        <v>35257.300000000003</v>
      </c>
      <c r="H532" s="18"/>
      <c r="I532" s="18"/>
      <c r="J532" s="18"/>
      <c r="K532" s="18"/>
      <c r="L532" s="88">
        <f>SUM(F532:K532)</f>
        <v>106244.26000000001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114795.02</v>
      </c>
      <c r="G533" s="18">
        <v>39114.69</v>
      </c>
      <c r="H533" s="18"/>
      <c r="I533" s="18"/>
      <c r="J533" s="18"/>
      <c r="K533" s="18"/>
      <c r="L533" s="88">
        <f>SUM(F533:K533)</f>
        <v>153909.71000000002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345699.54000000004</v>
      </c>
      <c r="G534" s="89">
        <f t="shared" ref="G534:L534" si="38">SUM(G531:G533)</f>
        <v>145298.23000000001</v>
      </c>
      <c r="H534" s="89">
        <f t="shared" si="38"/>
        <v>4481.97</v>
      </c>
      <c r="I534" s="89">
        <f t="shared" si="38"/>
        <v>1593.25</v>
      </c>
      <c r="J534" s="89">
        <f t="shared" si="38"/>
        <v>807</v>
      </c>
      <c r="K534" s="89">
        <f t="shared" si="38"/>
        <v>12880.23</v>
      </c>
      <c r="L534" s="89">
        <f t="shared" si="38"/>
        <v>510760.22000000003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17558.22</v>
      </c>
      <c r="I538" s="18"/>
      <c r="J538" s="18"/>
      <c r="K538" s="18"/>
      <c r="L538" s="88">
        <f>SUM(F538:K538)</f>
        <v>17558.22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17558.22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17558.22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395913.74</v>
      </c>
      <c r="I541" s="18"/>
      <c r="J541" s="18"/>
      <c r="K541" s="18"/>
      <c r="L541" s="88">
        <f>SUM(F541:K541)</f>
        <v>395913.74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184000.2</v>
      </c>
      <c r="I542" s="18"/>
      <c r="J542" s="18"/>
      <c r="K542" s="18"/>
      <c r="L542" s="88">
        <f>SUM(F542:K542)</f>
        <v>184000.2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238524.24</v>
      </c>
      <c r="I543" s="18"/>
      <c r="J543" s="18"/>
      <c r="K543" s="18"/>
      <c r="L543" s="88">
        <f>SUM(F543:K543)</f>
        <v>238524.24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818438.17999999993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818438.17999999993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8670800.9399999995</v>
      </c>
      <c r="G545" s="89">
        <f t="shared" ref="G545:L545" si="41">G524+G529+G534+G539+G544</f>
        <v>3532089.21</v>
      </c>
      <c r="H545" s="89">
        <f t="shared" si="41"/>
        <v>4303423.5</v>
      </c>
      <c r="I545" s="89">
        <f t="shared" si="41"/>
        <v>60193.520000000004</v>
      </c>
      <c r="J545" s="89">
        <f t="shared" si="41"/>
        <v>15747.81</v>
      </c>
      <c r="K545" s="89">
        <f t="shared" si="41"/>
        <v>14186.89</v>
      </c>
      <c r="L545" s="89">
        <f t="shared" si="41"/>
        <v>16596441.870000001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5179343.0999999996</v>
      </c>
      <c r="G549" s="87">
        <f>L526</f>
        <v>2460788.65</v>
      </c>
      <c r="H549" s="87">
        <f>L531</f>
        <v>250606.25</v>
      </c>
      <c r="I549" s="87">
        <f>L536</f>
        <v>0</v>
      </c>
      <c r="J549" s="87">
        <f>L541</f>
        <v>395913.74</v>
      </c>
      <c r="K549" s="87">
        <f>SUM(F549:J549)</f>
        <v>8286651.7400000002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2263868.21</v>
      </c>
      <c r="G550" s="87">
        <f>L527</f>
        <v>477348.3</v>
      </c>
      <c r="H550" s="87">
        <f>L532</f>
        <v>106244.26000000001</v>
      </c>
      <c r="I550" s="87">
        <f>L537</f>
        <v>0</v>
      </c>
      <c r="J550" s="87">
        <f>L542</f>
        <v>184000.2</v>
      </c>
      <c r="K550" s="87">
        <f>SUM(F550:J550)</f>
        <v>3031460.9699999997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4046081.6</v>
      </c>
      <c r="G551" s="87">
        <f>L528</f>
        <v>822255.3899999999</v>
      </c>
      <c r="H551" s="87">
        <f>L533</f>
        <v>153909.71000000002</v>
      </c>
      <c r="I551" s="87">
        <f>L538</f>
        <v>17558.22</v>
      </c>
      <c r="J551" s="87">
        <f>L543</f>
        <v>238524.24</v>
      </c>
      <c r="K551" s="87">
        <f>SUM(F551:J551)</f>
        <v>5278329.16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11489292.91</v>
      </c>
      <c r="G552" s="89">
        <f t="shared" si="42"/>
        <v>3760392.34</v>
      </c>
      <c r="H552" s="89">
        <f t="shared" si="42"/>
        <v>510760.22000000003</v>
      </c>
      <c r="I552" s="89">
        <f t="shared" si="42"/>
        <v>17558.22</v>
      </c>
      <c r="J552" s="89">
        <f t="shared" si="42"/>
        <v>818438.17999999993</v>
      </c>
      <c r="K552" s="89">
        <f t="shared" si="42"/>
        <v>16596441.870000001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116220.9</v>
      </c>
      <c r="G562" s="18">
        <v>48132.28</v>
      </c>
      <c r="H562" s="18">
        <v>602.79999999999995</v>
      </c>
      <c r="I562" s="18">
        <v>1326.28</v>
      </c>
      <c r="J562" s="18"/>
      <c r="K562" s="18"/>
      <c r="L562" s="88">
        <f>SUM(F562:K562)</f>
        <v>166282.25999999998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116220.9</v>
      </c>
      <c r="G565" s="89">
        <f t="shared" si="44"/>
        <v>48132.28</v>
      </c>
      <c r="H565" s="89">
        <f t="shared" si="44"/>
        <v>602.79999999999995</v>
      </c>
      <c r="I565" s="89">
        <f t="shared" si="44"/>
        <v>1326.28</v>
      </c>
      <c r="J565" s="89">
        <f t="shared" si="44"/>
        <v>0</v>
      </c>
      <c r="K565" s="89">
        <f t="shared" si="44"/>
        <v>0</v>
      </c>
      <c r="L565" s="89">
        <f t="shared" si="44"/>
        <v>166282.25999999998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40499.94</v>
      </c>
      <c r="G567" s="18">
        <v>27194.06</v>
      </c>
      <c r="H567" s="18"/>
      <c r="I567" s="18"/>
      <c r="J567" s="18"/>
      <c r="K567" s="18"/>
      <c r="L567" s="88">
        <f>SUM(F567:K567)</f>
        <v>67694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40499.94</v>
      </c>
      <c r="G570" s="193">
        <f t="shared" ref="G570:L570" si="45">SUM(G567:G569)</f>
        <v>27194.06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67694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156720.84</v>
      </c>
      <c r="G571" s="89">
        <f t="shared" ref="G571:L571" si="46">G560+G565+G570</f>
        <v>75326.34</v>
      </c>
      <c r="H571" s="89">
        <f t="shared" si="46"/>
        <v>602.79999999999995</v>
      </c>
      <c r="I571" s="89">
        <f t="shared" si="46"/>
        <v>1326.28</v>
      </c>
      <c r="J571" s="89">
        <f t="shared" si="46"/>
        <v>0</v>
      </c>
      <c r="K571" s="89">
        <f t="shared" si="46"/>
        <v>0</v>
      </c>
      <c r="L571" s="89">
        <f t="shared" si="46"/>
        <v>233976.25999999998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92409.86</v>
      </c>
      <c r="G579" s="18">
        <v>5177.09</v>
      </c>
      <c r="H579" s="18">
        <v>62596.7</v>
      </c>
      <c r="I579" s="87">
        <f t="shared" si="47"/>
        <v>160183.65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326618.27</v>
      </c>
      <c r="G580" s="18">
        <v>369390.06</v>
      </c>
      <c r="H580" s="18">
        <v>249465.34</v>
      </c>
      <c r="I580" s="87">
        <f t="shared" si="47"/>
        <v>945473.67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279439.78999999998</v>
      </c>
      <c r="G582" s="18">
        <v>369217.59</v>
      </c>
      <c r="H582" s="18">
        <v>948764</v>
      </c>
      <c r="I582" s="87">
        <f t="shared" si="47"/>
        <v>1597421.38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2379.87</v>
      </c>
      <c r="I584" s="87">
        <f t="shared" si="47"/>
        <v>2379.87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326527</v>
      </c>
      <c r="I591" s="18">
        <v>168426</v>
      </c>
      <c r="J591" s="18">
        <v>362115</v>
      </c>
      <c r="K591" s="104">
        <f t="shared" ref="K591:K597" si="48">SUM(H591:J591)</f>
        <v>857068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395913.74</v>
      </c>
      <c r="I592" s="18">
        <v>184000.2</v>
      </c>
      <c r="J592" s="18">
        <f>236941.5+1582.74</f>
        <v>238524.24</v>
      </c>
      <c r="K592" s="104">
        <f t="shared" si="48"/>
        <v>818438.17999999993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1749.99</v>
      </c>
      <c r="K593" s="104">
        <f t="shared" si="48"/>
        <v>1749.99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17500</v>
      </c>
      <c r="J594" s="18">
        <v>133308</v>
      </c>
      <c r="K594" s="104">
        <f t="shared" si="48"/>
        <v>150808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16900.3</v>
      </c>
      <c r="I595" s="18">
        <v>8442.86</v>
      </c>
      <c r="J595" s="18">
        <f>14480.02-1582.74</f>
        <v>12897.28</v>
      </c>
      <c r="K595" s="104">
        <f t="shared" si="48"/>
        <v>38240.44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>
        <f>2534.54+193.89+125.45+14.17</f>
        <v>2868.0499999999997</v>
      </c>
      <c r="J597" s="18"/>
      <c r="K597" s="104">
        <f t="shared" si="48"/>
        <v>2868.0499999999997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739341.04</v>
      </c>
      <c r="I598" s="108">
        <f>SUM(I591:I597)</f>
        <v>381237.11</v>
      </c>
      <c r="J598" s="108">
        <f>SUM(J591:J597)</f>
        <v>748594.51</v>
      </c>
      <c r="K598" s="108">
        <f>SUM(K591:K597)</f>
        <v>1869172.66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27935+304303.9</f>
        <v>332238.90000000002</v>
      </c>
      <c r="I604" s="18">
        <f>15100+245941.46</f>
        <v>261041.46</v>
      </c>
      <c r="J604" s="18">
        <f>287.54+32465+557639.12</f>
        <v>590391.66</v>
      </c>
      <c r="K604" s="104">
        <f>SUM(H604:J604)</f>
        <v>1183672.02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332238.90000000002</v>
      </c>
      <c r="I605" s="108">
        <f>SUM(I602:I604)</f>
        <v>261041.46</v>
      </c>
      <c r="J605" s="108">
        <f>SUM(J602:J604)</f>
        <v>590391.66</v>
      </c>
      <c r="K605" s="108">
        <f>SUM(K602:K604)</f>
        <v>1183672.02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36360.68+7191+750</f>
        <v>44301.68</v>
      </c>
      <c r="G611" s="18">
        <f>3220.81+3978.46+219.6</f>
        <v>7418.8700000000008</v>
      </c>
      <c r="H611" s="18">
        <v>8250</v>
      </c>
      <c r="I611" s="18">
        <f>1866.39+5.59</f>
        <v>1871.98</v>
      </c>
      <c r="J611" s="18"/>
      <c r="K611" s="18">
        <v>150</v>
      </c>
      <c r="L611" s="88">
        <f>SUM(F611:K611)</f>
        <v>61992.530000000006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6603.18</v>
      </c>
      <c r="G612" s="18">
        <f>505.15+971.43+36.98</f>
        <v>1513.56</v>
      </c>
      <c r="H612" s="18"/>
      <c r="I612" s="18"/>
      <c r="J612" s="18"/>
      <c r="K612" s="18"/>
      <c r="L612" s="88">
        <f>SUM(F612:K612)</f>
        <v>8116.74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9431.25</f>
        <v>9431.25</v>
      </c>
      <c r="G613" s="18">
        <f>721.46+1477.92+52.82</f>
        <v>2252.2000000000003</v>
      </c>
      <c r="H613" s="18">
        <f>500+187.2</f>
        <v>687.2</v>
      </c>
      <c r="I613" s="18">
        <f>5566.49+222.56</f>
        <v>5789.05</v>
      </c>
      <c r="J613" s="18"/>
      <c r="K613" s="18"/>
      <c r="L613" s="88">
        <f>SUM(F613:K613)</f>
        <v>18159.7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60336.11</v>
      </c>
      <c r="G614" s="108">
        <f t="shared" si="49"/>
        <v>11184.630000000001</v>
      </c>
      <c r="H614" s="108">
        <f t="shared" si="49"/>
        <v>8937.2000000000007</v>
      </c>
      <c r="I614" s="108">
        <f t="shared" si="49"/>
        <v>7661.0300000000007</v>
      </c>
      <c r="J614" s="108">
        <f t="shared" si="49"/>
        <v>0</v>
      </c>
      <c r="K614" s="108">
        <f t="shared" si="49"/>
        <v>150</v>
      </c>
      <c r="L614" s="89">
        <f t="shared" si="49"/>
        <v>88268.97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2571743.69</v>
      </c>
      <c r="H617" s="109">
        <f>SUM(F52)</f>
        <v>2571743.69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319253.96000000008</v>
      </c>
      <c r="H618" s="109">
        <f>SUM(G52)</f>
        <v>319253.95999999996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829105.60999999987</v>
      </c>
      <c r="H619" s="109">
        <f>SUM(H52)</f>
        <v>829105.60999999987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272</v>
      </c>
      <c r="H620" s="109">
        <f>SUM(I52)</f>
        <v>272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623418.05000000005</v>
      </c>
      <c r="H621" s="109">
        <f>SUM(J52)</f>
        <v>623418.05000000005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2159784.77</v>
      </c>
      <c r="H622" s="109">
        <f>F476</f>
        <v>2159784.7700000033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293440.17</v>
      </c>
      <c r="H623" s="109">
        <f>G476</f>
        <v>293440.16999999993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231111.31999999998</v>
      </c>
      <c r="H624" s="109">
        <f>H476</f>
        <v>231111.31999999983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272</v>
      </c>
      <c r="H625" s="109">
        <f>I476</f>
        <v>272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623418.05000000005</v>
      </c>
      <c r="H626" s="109">
        <f>J476</f>
        <v>623418.04999999993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58999228.339999989</v>
      </c>
      <c r="H627" s="104">
        <f>SUM(F468)</f>
        <v>58999228.340000004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1518902.47</v>
      </c>
      <c r="H628" s="104">
        <f>SUM(G468)</f>
        <v>1518902.47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2869424.51</v>
      </c>
      <c r="H629" s="104">
        <f>SUM(H468)</f>
        <v>2869424.51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194695.42</v>
      </c>
      <c r="H631" s="104">
        <f>SUM(J468)</f>
        <v>194695.41999999998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60003070.819999993</v>
      </c>
      <c r="H632" s="104">
        <f>SUM(F472)</f>
        <v>60003070.82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2956820.67</v>
      </c>
      <c r="H633" s="104">
        <f>SUM(H472)</f>
        <v>2956820.67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744688.97</v>
      </c>
      <c r="H634" s="104">
        <f>I369</f>
        <v>744688.96999999986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1436821.25</v>
      </c>
      <c r="H635" s="104">
        <f>SUM(G472)</f>
        <v>1436821.25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328565.21000000002</v>
      </c>
      <c r="H636" s="104">
        <f>SUM(I472)</f>
        <v>328565.21000000002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194695.41999999998</v>
      </c>
      <c r="H637" s="164">
        <f>SUM(J468)</f>
        <v>194695.41999999998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8858.65</v>
      </c>
      <c r="H638" s="164">
        <f>SUM(J472)</f>
        <v>8858.65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623418.05000000005</v>
      </c>
      <c r="H640" s="104">
        <f>SUM(G461)</f>
        <v>623418.05000000005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623418.05000000005</v>
      </c>
      <c r="H642" s="104">
        <f>SUM(I461)</f>
        <v>623418.05000000005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1547.42</v>
      </c>
      <c r="H644" s="104">
        <f>H408</f>
        <v>1547.42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192798</v>
      </c>
      <c r="H645" s="104">
        <f>G408</f>
        <v>192798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194695.42</v>
      </c>
      <c r="H646" s="104">
        <f>L408</f>
        <v>194695.41999999998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1869172.66</v>
      </c>
      <c r="H647" s="104">
        <f>L208+L226+L244</f>
        <v>1869172.66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1183672.02</v>
      </c>
      <c r="H648" s="104">
        <f>(J257+J338)-(J255+J336)</f>
        <v>1183672.02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739341.04</v>
      </c>
      <c r="H649" s="104">
        <f>H598</f>
        <v>739341.04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381237.11</v>
      </c>
      <c r="H650" s="104">
        <f>I598</f>
        <v>381237.11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748594.51</v>
      </c>
      <c r="H651" s="104">
        <f>J598</f>
        <v>748594.51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192798</v>
      </c>
      <c r="H655" s="104">
        <f>K266+K347</f>
        <v>192798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23835960.579999998</v>
      </c>
      <c r="G660" s="19">
        <f>(L229+L309+L359)</f>
        <v>10930428.880000001</v>
      </c>
      <c r="H660" s="19">
        <f>(L247+L328+L360)</f>
        <v>23753031.299999997</v>
      </c>
      <c r="I660" s="19">
        <f>SUM(F660:H660)</f>
        <v>58519420.759999998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213681.89374561241</v>
      </c>
      <c r="G661" s="19">
        <f>(L359/IF(SUM(L358:L360)=0,1,SUM(L358:L360))*(SUM(G97:G110)))</f>
        <v>195369.27868614331</v>
      </c>
      <c r="H661" s="19">
        <f>(L360/IF(SUM(L358:L360)=0,1,SUM(L358:L360))*(SUM(G97:G110)))</f>
        <v>394227.9675682442</v>
      </c>
      <c r="I661" s="19">
        <f>SUM(F661:H661)</f>
        <v>803279.1399999999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739941.04</v>
      </c>
      <c r="G662" s="19">
        <f>(L226+L306)-(J226+J306)</f>
        <v>381237.11</v>
      </c>
      <c r="H662" s="19">
        <f>(L244+L325)-(J244+J325)</f>
        <v>752291.91</v>
      </c>
      <c r="I662" s="19">
        <f>SUM(F662:H662)</f>
        <v>1873470.06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1092699.3499999999</v>
      </c>
      <c r="G663" s="199">
        <f>SUM(G575:G587)+SUM(I602:I604)+L612</f>
        <v>1012942.94</v>
      </c>
      <c r="H663" s="199">
        <f>SUM(H575:H587)+SUM(J602:J604)+L613</f>
        <v>1871757.2700000003</v>
      </c>
      <c r="I663" s="19">
        <f>SUM(F663:H663)</f>
        <v>3977399.5600000005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21789638.296254385</v>
      </c>
      <c r="G664" s="19">
        <f>G660-SUM(G661:G663)</f>
        <v>9340879.5513138585</v>
      </c>
      <c r="H664" s="19">
        <f>H660-SUM(H661:H663)</f>
        <v>20734754.152431753</v>
      </c>
      <c r="I664" s="19">
        <f>I660-SUM(I661:I663)</f>
        <v>51865272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1200.4000000000001</v>
      </c>
      <c r="G665" s="248">
        <v>679.82</v>
      </c>
      <c r="H665" s="248">
        <v>1345.55</v>
      </c>
      <c r="I665" s="19">
        <f>SUM(F665:H665)</f>
        <v>3225.7700000000004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18151.98</v>
      </c>
      <c r="G667" s="19">
        <f>ROUND(G664/G665,2)</f>
        <v>13740.22</v>
      </c>
      <c r="H667" s="19">
        <f>ROUND(H664/H665,2)</f>
        <v>15409.87</v>
      </c>
      <c r="I667" s="19">
        <f>ROUND(I664/I665,2)</f>
        <v>16078.42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24.33</v>
      </c>
      <c r="I670" s="19">
        <f>SUM(F670:H670)</f>
        <v>24.33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18151.98</v>
      </c>
      <c r="G672" s="19">
        <f>ROUND((G664+G669)/(G665+G670),2)</f>
        <v>13740.22</v>
      </c>
      <c r="H672" s="19">
        <f>ROUND((H664+H669)/(H665+H670),2)</f>
        <v>15136.18</v>
      </c>
      <c r="I672" s="19">
        <f>ROUND((I664+I669)/(I665+I670),2)</f>
        <v>15958.05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KEENE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1" t="s">
        <v>784</v>
      </c>
      <c r="B3" s="281"/>
      <c r="C3" s="281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80" t="s">
        <v>783</v>
      </c>
      <c r="C6" s="280"/>
    </row>
    <row r="7" spans="1:3" x14ac:dyDescent="0.2">
      <c r="A7" s="239" t="s">
        <v>786</v>
      </c>
      <c r="B7" s="278" t="s">
        <v>782</v>
      </c>
      <c r="C7" s="279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14188780.66</v>
      </c>
      <c r="C9" s="229">
        <f>'DOE25'!G197+'DOE25'!G215+'DOE25'!G233+'DOE25'!G276+'DOE25'!G295+'DOE25'!G314</f>
        <v>6184701.8399999999</v>
      </c>
    </row>
    <row r="10" spans="1:3" x14ac:dyDescent="0.2">
      <c r="A10" t="s">
        <v>779</v>
      </c>
      <c r="B10" s="240">
        <v>12120961.57</v>
      </c>
      <c r="C10" s="240">
        <v>5774759.2699999996</v>
      </c>
    </row>
    <row r="11" spans="1:3" x14ac:dyDescent="0.2">
      <c r="A11" t="s">
        <v>780</v>
      </c>
      <c r="B11" s="240">
        <v>629500.14</v>
      </c>
      <c r="C11" s="240">
        <v>299911.17</v>
      </c>
    </row>
    <row r="12" spans="1:3" x14ac:dyDescent="0.2">
      <c r="A12" t="s">
        <v>781</v>
      </c>
      <c r="B12" s="240">
        <v>1438318.95</v>
      </c>
      <c r="C12" s="240">
        <v>110031.4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14188780.66</v>
      </c>
      <c r="C13" s="231">
        <f>SUM(C10:C12)</f>
        <v>6184701.8399999999</v>
      </c>
    </row>
    <row r="14" spans="1:3" x14ac:dyDescent="0.2">
      <c r="B14" s="230"/>
      <c r="C14" s="230"/>
    </row>
    <row r="15" spans="1:3" x14ac:dyDescent="0.2">
      <c r="B15" s="280" t="s">
        <v>783</v>
      </c>
      <c r="C15" s="280"/>
    </row>
    <row r="16" spans="1:3" x14ac:dyDescent="0.2">
      <c r="A16" s="239" t="s">
        <v>787</v>
      </c>
      <c r="B16" s="278" t="s">
        <v>707</v>
      </c>
      <c r="C16" s="279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6348608.3600000003</v>
      </c>
      <c r="C18" s="229">
        <f>'DOE25'!G198+'DOE25'!G216+'DOE25'!G234+'DOE25'!G277+'DOE25'!G296+'DOE25'!G315</f>
        <v>2518533.3200000003</v>
      </c>
    </row>
    <row r="19" spans="1:3" x14ac:dyDescent="0.2">
      <c r="A19" t="s">
        <v>779</v>
      </c>
      <c r="B19" s="240">
        <v>3168691.19</v>
      </c>
      <c r="C19" s="240">
        <v>1718622.74</v>
      </c>
    </row>
    <row r="20" spans="1:3" x14ac:dyDescent="0.2">
      <c r="A20" t="s">
        <v>780</v>
      </c>
      <c r="B20" s="240">
        <v>1194838.67</v>
      </c>
      <c r="C20" s="240">
        <v>648052.07999999996</v>
      </c>
    </row>
    <row r="21" spans="1:3" x14ac:dyDescent="0.2">
      <c r="A21" t="s">
        <v>781</v>
      </c>
      <c r="B21" s="240">
        <v>1985078.5</v>
      </c>
      <c r="C21" s="240">
        <v>151858.5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6348608.3599999994</v>
      </c>
      <c r="C22" s="231">
        <f>SUM(C19:C21)</f>
        <v>2518533.3199999998</v>
      </c>
    </row>
    <row r="23" spans="1:3" x14ac:dyDescent="0.2">
      <c r="B23" s="230"/>
      <c r="C23" s="230"/>
    </row>
    <row r="24" spans="1:3" x14ac:dyDescent="0.2">
      <c r="B24" s="280" t="s">
        <v>783</v>
      </c>
      <c r="C24" s="280"/>
    </row>
    <row r="25" spans="1:3" x14ac:dyDescent="0.2">
      <c r="A25" s="239" t="s">
        <v>788</v>
      </c>
      <c r="B25" s="278" t="s">
        <v>708</v>
      </c>
      <c r="C25" s="279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869868.5</v>
      </c>
      <c r="C27" s="234">
        <f>'DOE25'!G199+'DOE25'!G217+'DOE25'!G235+'DOE25'!G278+'DOE25'!G297+'DOE25'!G316</f>
        <v>402729.63999999996</v>
      </c>
    </row>
    <row r="28" spans="1:3" x14ac:dyDescent="0.2">
      <c r="A28" t="s">
        <v>779</v>
      </c>
      <c r="B28" s="240">
        <v>785453.98</v>
      </c>
      <c r="C28" s="240">
        <v>365591.89</v>
      </c>
    </row>
    <row r="29" spans="1:3" x14ac:dyDescent="0.2">
      <c r="A29" t="s">
        <v>780</v>
      </c>
      <c r="B29" s="240">
        <v>78878.52</v>
      </c>
      <c r="C29" s="240">
        <v>36714.239999999998</v>
      </c>
    </row>
    <row r="30" spans="1:3" x14ac:dyDescent="0.2">
      <c r="A30" t="s">
        <v>781</v>
      </c>
      <c r="B30" s="240">
        <v>5536</v>
      </c>
      <c r="C30" s="240">
        <v>423.51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869868.5</v>
      </c>
      <c r="C31" s="231">
        <f>SUM(C28:C30)</f>
        <v>402729.64</v>
      </c>
    </row>
    <row r="33" spans="1:3" x14ac:dyDescent="0.2">
      <c r="B33" s="280" t="s">
        <v>783</v>
      </c>
      <c r="C33" s="280"/>
    </row>
    <row r="34" spans="1:3" x14ac:dyDescent="0.2">
      <c r="A34" s="239" t="s">
        <v>789</v>
      </c>
      <c r="B34" s="278" t="s">
        <v>709</v>
      </c>
      <c r="C34" s="279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493498.23</v>
      </c>
      <c r="C36" s="235">
        <f>'DOE25'!G200+'DOE25'!G218+'DOE25'!G236+'DOE25'!G279+'DOE25'!G298+'DOE25'!G317</f>
        <v>123284.73</v>
      </c>
    </row>
    <row r="37" spans="1:3" x14ac:dyDescent="0.2">
      <c r="A37" t="s">
        <v>779</v>
      </c>
      <c r="B37" s="240">
        <v>347400.89</v>
      </c>
      <c r="C37" s="240">
        <v>86857.39</v>
      </c>
    </row>
    <row r="38" spans="1:3" x14ac:dyDescent="0.2">
      <c r="A38" t="s">
        <v>780</v>
      </c>
      <c r="B38" s="240">
        <v>7191</v>
      </c>
      <c r="C38" s="240">
        <v>1797.9</v>
      </c>
    </row>
    <row r="39" spans="1:3" x14ac:dyDescent="0.2">
      <c r="A39" t="s">
        <v>781</v>
      </c>
      <c r="B39" s="240">
        <v>138906.34</v>
      </c>
      <c r="C39" s="240">
        <v>34629.440000000002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493498.23</v>
      </c>
      <c r="C40" s="231">
        <f>SUM(C37:C39)</f>
        <v>123284.73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790</v>
      </c>
      <c r="B1" s="285"/>
      <c r="C1" s="285"/>
      <c r="D1" s="285"/>
      <c r="E1" s="285"/>
      <c r="F1" s="285"/>
      <c r="G1" s="285"/>
      <c r="H1" s="285"/>
      <c r="I1" s="181"/>
    </row>
    <row r="2" spans="1:9" x14ac:dyDescent="0.2">
      <c r="A2" s="33" t="s">
        <v>717</v>
      </c>
      <c r="B2" s="265" t="str">
        <f>'DOE25'!A2</f>
        <v>KEENE SCHOOL DISTRICT</v>
      </c>
      <c r="C2" s="181"/>
      <c r="D2" s="181" t="s">
        <v>792</v>
      </c>
      <c r="E2" s="181" t="s">
        <v>794</v>
      </c>
      <c r="F2" s="282" t="s">
        <v>821</v>
      </c>
      <c r="G2" s="283"/>
      <c r="H2" s="284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34270811.829999998</v>
      </c>
      <c r="D5" s="20">
        <f>SUM('DOE25'!L197:L200)+SUM('DOE25'!L215:L218)+SUM('DOE25'!L233:L236)-F5-G5</f>
        <v>34075467.919999994</v>
      </c>
      <c r="E5" s="243"/>
      <c r="F5" s="255">
        <f>SUM('DOE25'!J197:J200)+SUM('DOE25'!J215:J218)+SUM('DOE25'!J233:J236)</f>
        <v>146726.45000000001</v>
      </c>
      <c r="G5" s="53">
        <f>SUM('DOE25'!K197:K200)+SUM('DOE25'!K215:K218)+SUM('DOE25'!K233:K236)</f>
        <v>48617.46</v>
      </c>
      <c r="H5" s="259"/>
    </row>
    <row r="6" spans="1:9" x14ac:dyDescent="0.2">
      <c r="A6" s="32">
        <v>2100</v>
      </c>
      <c r="B6" t="s">
        <v>801</v>
      </c>
      <c r="C6" s="245">
        <f t="shared" si="0"/>
        <v>5437747.6699999999</v>
      </c>
      <c r="D6" s="20">
        <f>'DOE25'!L202+'DOE25'!L220+'DOE25'!L238-F6-G6</f>
        <v>5435679.7699999996</v>
      </c>
      <c r="E6" s="243"/>
      <c r="F6" s="255">
        <f>'DOE25'!J202+'DOE25'!J220+'DOE25'!J238</f>
        <v>1366.9099999999999</v>
      </c>
      <c r="G6" s="53">
        <f>'DOE25'!K202+'DOE25'!K220+'DOE25'!K238</f>
        <v>700.99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1362239.3600000003</v>
      </c>
      <c r="D7" s="20">
        <f>'DOE25'!L203+'DOE25'!L221+'DOE25'!L239-F7-G7</f>
        <v>1344631.5800000003</v>
      </c>
      <c r="E7" s="243"/>
      <c r="F7" s="255">
        <f>'DOE25'!J203+'DOE25'!J221+'DOE25'!J239</f>
        <v>11609.59</v>
      </c>
      <c r="G7" s="53">
        <f>'DOE25'!K203+'DOE25'!K221+'DOE25'!K239</f>
        <v>5998.1900000000005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1901025.0899999999</v>
      </c>
      <c r="D8" s="243"/>
      <c r="E8" s="20">
        <f>'DOE25'!L204+'DOE25'!L222+'DOE25'!L240-F8-G8-D9-D11</f>
        <v>1860183.0299999998</v>
      </c>
      <c r="F8" s="255">
        <f>'DOE25'!J204+'DOE25'!J222+'DOE25'!J240</f>
        <v>807</v>
      </c>
      <c r="G8" s="53">
        <f>'DOE25'!K204+'DOE25'!K222+'DOE25'!K240</f>
        <v>40035.06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280515.11</v>
      </c>
      <c r="D9" s="244">
        <v>280515.11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15373.27</v>
      </c>
      <c r="D10" s="243"/>
      <c r="E10" s="244">
        <v>15373.27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367074</v>
      </c>
      <c r="D11" s="244">
        <v>367074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3077009.35</v>
      </c>
      <c r="D12" s="20">
        <f>'DOE25'!L205+'DOE25'!L223+'DOE25'!L241-F12-G12</f>
        <v>3030604.78</v>
      </c>
      <c r="E12" s="243"/>
      <c r="F12" s="255">
        <f>'DOE25'!J205+'DOE25'!J223+'DOE25'!J241</f>
        <v>34720.43</v>
      </c>
      <c r="G12" s="53">
        <f>'DOE25'!K205+'DOE25'!K223+'DOE25'!K241</f>
        <v>11684.14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20894.8</v>
      </c>
      <c r="D13" s="243"/>
      <c r="E13" s="20">
        <f>'DOE25'!L206+'DOE25'!L224+'DOE25'!L242-F13-G13</f>
        <v>19992</v>
      </c>
      <c r="F13" s="255">
        <f>'DOE25'!J206+'DOE25'!J224+'DOE25'!J242</f>
        <v>0</v>
      </c>
      <c r="G13" s="53">
        <f>'DOE25'!K206+'DOE25'!K224+'DOE25'!K242</f>
        <v>902.8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4674055.83</v>
      </c>
      <c r="D14" s="20">
        <f>'DOE25'!L207+'DOE25'!L225+'DOE25'!L243-F14-G14</f>
        <v>4581260.78</v>
      </c>
      <c r="E14" s="243"/>
      <c r="F14" s="255">
        <f>'DOE25'!J207+'DOE25'!J225+'DOE25'!J243</f>
        <v>84244.85</v>
      </c>
      <c r="G14" s="53">
        <f>'DOE25'!K207+'DOE25'!K225+'DOE25'!K243</f>
        <v>8550.2000000000007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1869172.66</v>
      </c>
      <c r="D15" s="20">
        <f>'DOE25'!L208+'DOE25'!L226+'DOE25'!L244-F15-G15</f>
        <v>1869172.66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1446911.3900000001</v>
      </c>
      <c r="D16" s="243"/>
      <c r="E16" s="20">
        <f>'DOE25'!L209+'DOE25'!L227+'DOE25'!L245-F16-G16</f>
        <v>753887.41000000015</v>
      </c>
      <c r="F16" s="255">
        <f>'DOE25'!J209+'DOE25'!J227+'DOE25'!J245</f>
        <v>693023.98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1650114.74</v>
      </c>
      <c r="D22" s="243"/>
      <c r="E22" s="243"/>
      <c r="F22" s="255">
        <f>'DOE25'!L255+'DOE25'!L336</f>
        <v>1650114.74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3576746.25</v>
      </c>
      <c r="D25" s="243"/>
      <c r="E25" s="243"/>
      <c r="F25" s="258"/>
      <c r="G25" s="256"/>
      <c r="H25" s="257">
        <f>'DOE25'!L260+'DOE25'!L261+'DOE25'!L341+'DOE25'!L342</f>
        <v>3576746.25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728301.12000000011</v>
      </c>
      <c r="D29" s="20">
        <f>'DOE25'!L358+'DOE25'!L359+'DOE25'!L360-'DOE25'!I367-F29-G29</f>
        <v>725406.65000000014</v>
      </c>
      <c r="E29" s="243"/>
      <c r="F29" s="255">
        <f>'DOE25'!J358+'DOE25'!J359+'DOE25'!J360</f>
        <v>1995</v>
      </c>
      <c r="G29" s="53">
        <f>'DOE25'!K358+'DOE25'!K359+'DOE25'!K360</f>
        <v>899.47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2824577.41</v>
      </c>
      <c r="D31" s="20">
        <f>'DOE25'!L290+'DOE25'!L309+'DOE25'!L328+'DOE25'!L333+'DOE25'!L334+'DOE25'!L335-F31-G31</f>
        <v>2496964.66</v>
      </c>
      <c r="E31" s="243"/>
      <c r="F31" s="255">
        <f>'DOE25'!J290+'DOE25'!J309+'DOE25'!J328+'DOE25'!J333+'DOE25'!J334+'DOE25'!J335</f>
        <v>211172.81000000003</v>
      </c>
      <c r="G31" s="53">
        <f>'DOE25'!K290+'DOE25'!K309+'DOE25'!K328+'DOE25'!K333+'DOE25'!K334+'DOE25'!K335</f>
        <v>116439.94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54206777.909999996</v>
      </c>
      <c r="E33" s="246">
        <f>SUM(E5:E31)</f>
        <v>2649435.71</v>
      </c>
      <c r="F33" s="246">
        <f>SUM(F5:F31)</f>
        <v>2835781.7600000002</v>
      </c>
      <c r="G33" s="246">
        <f>SUM(G5:G31)</f>
        <v>233828.25</v>
      </c>
      <c r="H33" s="246">
        <f>SUM(H5:H31)</f>
        <v>3576746.25</v>
      </c>
    </row>
    <row r="35" spans="2:8" ht="12" thickBot="1" x14ac:dyDescent="0.25">
      <c r="B35" s="253" t="s">
        <v>847</v>
      </c>
      <c r="D35" s="254">
        <f>E33</f>
        <v>2649435.71</v>
      </c>
      <c r="E35" s="249"/>
    </row>
    <row r="36" spans="2:8" ht="12" thickTop="1" x14ac:dyDescent="0.2">
      <c r="B36" t="s">
        <v>815</v>
      </c>
      <c r="D36" s="20">
        <f>D33</f>
        <v>54206777.909999996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7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KEENE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1657321.4899999998</v>
      </c>
      <c r="D8" s="95">
        <f>'DOE25'!G9</f>
        <v>280583.28000000003</v>
      </c>
      <c r="E8" s="95">
        <f>'DOE25'!H9</f>
        <v>238946.72</v>
      </c>
      <c r="F8" s="95">
        <f>'DOE25'!I9</f>
        <v>272</v>
      </c>
      <c r="G8" s="95">
        <f>'DOE25'!J9</f>
        <v>623418.05000000005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402918.48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495225.02</v>
      </c>
      <c r="D12" s="95">
        <f>'DOE25'!G13</f>
        <v>33838.9</v>
      </c>
      <c r="E12" s="95">
        <f>'DOE25'!H13</f>
        <v>532190.77999999991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16278.7</v>
      </c>
      <c r="D13" s="95">
        <f>'DOE25'!G14</f>
        <v>4831.78</v>
      </c>
      <c r="E13" s="95">
        <f>'DOE25'!H14</f>
        <v>36674.14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21293.97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2571743.69</v>
      </c>
      <c r="D18" s="41">
        <f>SUM(D8:D17)</f>
        <v>319253.96000000008</v>
      </c>
      <c r="E18" s="41">
        <f>SUM(E8:E17)</f>
        <v>829105.60999999987</v>
      </c>
      <c r="F18" s="41">
        <f>SUM(F8:F17)</f>
        <v>272</v>
      </c>
      <c r="G18" s="41">
        <f>SUM(G8:G17)</f>
        <v>623418.05000000005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402918.48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29071.86</v>
      </c>
      <c r="D22" s="95">
        <f>'DOE25'!G23</f>
        <v>0</v>
      </c>
      <c r="E22" s="95">
        <f>'DOE25'!H23</f>
        <v>79966.22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221871.7</v>
      </c>
      <c r="D23" s="95">
        <f>'DOE25'!G24</f>
        <v>323.83999999999997</v>
      </c>
      <c r="E23" s="95">
        <f>'DOE25'!H24</f>
        <v>19208.309999999998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161015.35999999999</v>
      </c>
      <c r="D27" s="95">
        <f>'DOE25'!G28</f>
        <v>0</v>
      </c>
      <c r="E27" s="95">
        <f>'DOE25'!H28</f>
        <v>38276.28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25489.95</v>
      </c>
      <c r="E29" s="95">
        <f>'DOE25'!H30</f>
        <v>57625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411958.92</v>
      </c>
      <c r="D31" s="41">
        <f>SUM(D21:D30)</f>
        <v>25813.79</v>
      </c>
      <c r="E31" s="41">
        <f>SUM(E21:E30)</f>
        <v>597994.28999999992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21293.97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293440.17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204357.33</v>
      </c>
      <c r="F42" s="95">
        <f>'DOE25'!I43</f>
        <v>272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32137.98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5460.02</v>
      </c>
      <c r="F47" s="95">
        <f>'DOE25'!I48</f>
        <v>0</v>
      </c>
      <c r="G47" s="95">
        <f>'DOE25'!J48</f>
        <v>623418.05000000005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2077646.79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2159784.77</v>
      </c>
      <c r="D50" s="41">
        <f>SUM(D34:D49)</f>
        <v>293440.17</v>
      </c>
      <c r="E50" s="41">
        <f>SUM(E34:E49)</f>
        <v>231111.31999999998</v>
      </c>
      <c r="F50" s="41">
        <f>SUM(F34:F49)</f>
        <v>272</v>
      </c>
      <c r="G50" s="41">
        <f>SUM(G34:G49)</f>
        <v>623418.05000000005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2571743.69</v>
      </c>
      <c r="D51" s="41">
        <f>D50+D31</f>
        <v>319253.95999999996</v>
      </c>
      <c r="E51" s="41">
        <f>E50+E31</f>
        <v>829105.60999999987</v>
      </c>
      <c r="F51" s="41">
        <f>F50+F31</f>
        <v>272</v>
      </c>
      <c r="G51" s="41">
        <f>G50+G31</f>
        <v>623418.05000000005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28181683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11262403.739999998</v>
      </c>
      <c r="D57" s="24" t="s">
        <v>289</v>
      </c>
      <c r="E57" s="95">
        <f>'DOE25'!H79</f>
        <v>458617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8396.9500000000007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1547.42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781954.1399999999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1396218.23</v>
      </c>
      <c r="D61" s="95">
        <f>SUM('DOE25'!G98:G110)</f>
        <v>21325</v>
      </c>
      <c r="E61" s="95">
        <f>SUM('DOE25'!H98:H110)</f>
        <v>239262.8</v>
      </c>
      <c r="F61" s="95">
        <f>SUM('DOE25'!I98:I110)</f>
        <v>0</v>
      </c>
      <c r="G61" s="95">
        <f>SUM('DOE25'!J98:J110)</f>
        <v>350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12667018.919999998</v>
      </c>
      <c r="D62" s="130">
        <f>SUM(D57:D61)</f>
        <v>803279.1399999999</v>
      </c>
      <c r="E62" s="130">
        <f>SUM(E57:E61)</f>
        <v>697879.8</v>
      </c>
      <c r="F62" s="130">
        <f>SUM(F57:F61)</f>
        <v>0</v>
      </c>
      <c r="G62" s="130">
        <f>SUM(G57:G61)</f>
        <v>1897.42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40848701.920000002</v>
      </c>
      <c r="D63" s="22">
        <f>D56+D62</f>
        <v>803279.1399999999</v>
      </c>
      <c r="E63" s="22">
        <f>E56+E62</f>
        <v>697879.8</v>
      </c>
      <c r="F63" s="22">
        <f>F56+F62</f>
        <v>0</v>
      </c>
      <c r="G63" s="22">
        <f>G56+G62</f>
        <v>1897.42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10584505.550000001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4207896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14792401.550000001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1651947.62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621392.82999999996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211738.62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13737.68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2485079.0700000003</v>
      </c>
      <c r="D78" s="130">
        <f>SUM(D72:D77)</f>
        <v>13737.68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17277480.620000001</v>
      </c>
      <c r="D81" s="130">
        <f>SUM(D79:D80)+D78+D70</f>
        <v>13737.68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590199.15</v>
      </c>
      <c r="D88" s="95">
        <f>SUM('DOE25'!G153:G161)</f>
        <v>701885.65</v>
      </c>
      <c r="E88" s="95">
        <f>SUM('DOE25'!H153:H161)</f>
        <v>2171544.71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590199.15</v>
      </c>
      <c r="D91" s="131">
        <f>SUM(D85:D90)</f>
        <v>701885.65</v>
      </c>
      <c r="E91" s="131">
        <f>SUM(E85:E90)</f>
        <v>2171544.71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192798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281910.15000000002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936.5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282846.65000000002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192798</v>
      </c>
    </row>
    <row r="104" spans="1:7" ht="12.75" thickTop="1" thickBot="1" x14ac:dyDescent="0.25">
      <c r="A104" s="33" t="s">
        <v>765</v>
      </c>
      <c r="C104" s="86">
        <f>C63+C81+C91+C103</f>
        <v>58999228.340000004</v>
      </c>
      <c r="D104" s="86">
        <f>D63+D81+D91+D103</f>
        <v>1518902.47</v>
      </c>
      <c r="E104" s="86">
        <f>E63+E81+E91+E103</f>
        <v>2869424.51</v>
      </c>
      <c r="F104" s="86">
        <f>F63+F81+F91+F103</f>
        <v>0</v>
      </c>
      <c r="G104" s="86">
        <f>G63+G81+G103</f>
        <v>194695.42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20619983.109999999</v>
      </c>
      <c r="D109" s="24" t="s">
        <v>289</v>
      </c>
      <c r="E109" s="95">
        <f>('DOE25'!L276)+('DOE25'!L295)+('DOE25'!L314)</f>
        <v>808446.31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11535938.500000002</v>
      </c>
      <c r="D110" s="24" t="s">
        <v>289</v>
      </c>
      <c r="E110" s="95">
        <f>('DOE25'!L277)+('DOE25'!L296)+('DOE25'!L315)</f>
        <v>189274.27000000002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1328215.77</v>
      </c>
      <c r="D111" s="24" t="s">
        <v>289</v>
      </c>
      <c r="E111" s="95">
        <f>('DOE25'!L278)+('DOE25'!L297)+('DOE25'!L316)</f>
        <v>82997.740000000005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786674.45</v>
      </c>
      <c r="D112" s="24" t="s">
        <v>289</v>
      </c>
      <c r="E112" s="95">
        <f>+('DOE25'!L279)+('DOE25'!L298)+('DOE25'!L317)</f>
        <v>46168.210000000006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8198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449434.99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34270811.829999998</v>
      </c>
      <c r="D115" s="86">
        <f>SUM(D109:D114)</f>
        <v>0</v>
      </c>
      <c r="E115" s="86">
        <f>SUM(E109:E114)</f>
        <v>1584519.52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5437747.6699999999</v>
      </c>
      <c r="D118" s="24" t="s">
        <v>289</v>
      </c>
      <c r="E118" s="95">
        <f>+('DOE25'!L281)+('DOE25'!L300)+('DOE25'!L319)</f>
        <v>275652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1362239.3600000003</v>
      </c>
      <c r="D119" s="24" t="s">
        <v>289</v>
      </c>
      <c r="E119" s="95">
        <f>+('DOE25'!L282)+('DOE25'!L301)+('DOE25'!L320)</f>
        <v>682733.33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2548614.1999999997</v>
      </c>
      <c r="D120" s="24" t="s">
        <v>289</v>
      </c>
      <c r="E120" s="95">
        <f>+('DOE25'!L283)+('DOE25'!L302)+('DOE25'!L321)</f>
        <v>135587.35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3077009.35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20894.8</v>
      </c>
      <c r="D122" s="24" t="s">
        <v>289</v>
      </c>
      <c r="E122" s="95">
        <f>+('DOE25'!L285)+('DOE25'!L304)+('DOE25'!L323)</f>
        <v>90374.15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4674055.83</v>
      </c>
      <c r="D123" s="24" t="s">
        <v>289</v>
      </c>
      <c r="E123" s="95">
        <f>+('DOE25'!L286)+('DOE25'!L305)+('DOE25'!L324)</f>
        <v>59279.039999999994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1869172.66</v>
      </c>
      <c r="D124" s="24" t="s">
        <v>289</v>
      </c>
      <c r="E124" s="95">
        <f>+('DOE25'!L287)+('DOE25'!L306)+('DOE25'!L325)</f>
        <v>4297.3999999999996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1446911.3900000001</v>
      </c>
      <c r="D125" s="24" t="s">
        <v>289</v>
      </c>
      <c r="E125" s="95">
        <f>+('DOE25'!L288)+('DOE25'!L307)+('DOE25'!L326)</f>
        <v>332.62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1436821.25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20436645.260000002</v>
      </c>
      <c r="D128" s="86">
        <f>SUM(D118:D127)</f>
        <v>1436821.25</v>
      </c>
      <c r="E128" s="86">
        <f>SUM(E118:E127)</f>
        <v>1248255.8899999999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1618866.48</v>
      </c>
      <c r="D130" s="24" t="s">
        <v>289</v>
      </c>
      <c r="E130" s="129">
        <f>'DOE25'!L336</f>
        <v>31248.26</v>
      </c>
      <c r="F130" s="129">
        <f>SUM('DOE25'!L374:'DOE25'!L380)</f>
        <v>46655.06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2842700.5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734045.75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281910.15000000002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194695.41999999998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-1897.4199999999837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5388410.7300000004</v>
      </c>
      <c r="D144" s="141">
        <f>SUM(D130:D143)</f>
        <v>0</v>
      </c>
      <c r="E144" s="141">
        <f>SUM(E130:E143)</f>
        <v>31248.26</v>
      </c>
      <c r="F144" s="141">
        <f>SUM(F130:F143)</f>
        <v>328565.21000000002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60095867.820000008</v>
      </c>
      <c r="D145" s="86">
        <f>(D115+D128+D144)</f>
        <v>1436821.25</v>
      </c>
      <c r="E145" s="86">
        <f>(E115+E128+E144)</f>
        <v>2864023.67</v>
      </c>
      <c r="F145" s="86">
        <f>(F115+F128+F144)</f>
        <v>328565.21000000002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29</v>
      </c>
      <c r="E151" s="153">
        <f>'DOE25'!I490</f>
        <v>29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7/99</v>
      </c>
      <c r="C152" s="152" t="str">
        <f>'DOE25'!G491</f>
        <v>08/06</v>
      </c>
      <c r="D152" s="152" t="str">
        <f>'DOE25'!H491</f>
        <v>7/10</v>
      </c>
      <c r="E152" s="152" t="str">
        <f>'DOE25'!I491</f>
        <v>07/10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08/16</v>
      </c>
      <c r="D153" s="152" t="str">
        <f>'DOE25'!H492</f>
        <v>08/39</v>
      </c>
      <c r="E153" s="152" t="str">
        <f>'DOE25'!I492</f>
        <v>08/39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17500000</v>
      </c>
      <c r="C154" s="137">
        <f>'DOE25'!G493</f>
        <v>1225000</v>
      </c>
      <c r="D154" s="137">
        <f>'DOE25'!H493</f>
        <v>35115529.659999996</v>
      </c>
      <c r="E154" s="137">
        <f>'DOE25'!I493</f>
        <v>1817970.34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3.79</v>
      </c>
      <c r="D155" s="137">
        <f>'DOE25'!H494</f>
        <v>4.4400000000000004</v>
      </c>
      <c r="E155" s="137">
        <f>'DOE25'!I494</f>
        <v>4.4400000000000004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4375000</v>
      </c>
      <c r="C156" s="137">
        <f>'DOE25'!G495</f>
        <v>240000</v>
      </c>
      <c r="D156" s="137">
        <f>'DOE25'!H495</f>
        <v>26287945.140000001</v>
      </c>
      <c r="E156" s="137">
        <f>'DOE25'!I495</f>
        <v>1360956.38</v>
      </c>
      <c r="F156" s="137">
        <f>'DOE25'!J495</f>
        <v>0</v>
      </c>
      <c r="G156" s="138">
        <f>SUM(B156:F156)</f>
        <v>32263901.52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875000</v>
      </c>
      <c r="C158" s="137">
        <f>'DOE25'!G497</f>
        <v>120000</v>
      </c>
      <c r="D158" s="137">
        <f>'DOE25'!H497</f>
        <v>1756751.5</v>
      </c>
      <c r="E158" s="137">
        <f>'DOE25'!I497</f>
        <v>90949</v>
      </c>
      <c r="F158" s="137">
        <f>'DOE25'!J497</f>
        <v>0</v>
      </c>
      <c r="G158" s="138">
        <f t="shared" si="0"/>
        <v>2842700.5</v>
      </c>
    </row>
    <row r="159" spans="1:9" x14ac:dyDescent="0.2">
      <c r="A159" s="22" t="s">
        <v>35</v>
      </c>
      <c r="B159" s="137">
        <f>'DOE25'!F498</f>
        <v>3500000</v>
      </c>
      <c r="C159" s="137">
        <f>'DOE25'!G498</f>
        <v>120000</v>
      </c>
      <c r="D159" s="137">
        <f>'DOE25'!H498</f>
        <v>24531193.640000001</v>
      </c>
      <c r="E159" s="137">
        <f>'DOE25'!I498</f>
        <v>1270007.3899999999</v>
      </c>
      <c r="F159" s="137">
        <f>'DOE25'!J498</f>
        <v>0</v>
      </c>
      <c r="G159" s="138">
        <f t="shared" si="0"/>
        <v>29421201.030000001</v>
      </c>
    </row>
    <row r="160" spans="1:9" x14ac:dyDescent="0.2">
      <c r="A160" s="22" t="s">
        <v>36</v>
      </c>
      <c r="B160" s="137">
        <f>'DOE25'!F499</f>
        <v>367500</v>
      </c>
      <c r="C160" s="137">
        <f>'DOE25'!G499</f>
        <v>2280</v>
      </c>
      <c r="D160" s="137">
        <f>'DOE25'!H499</f>
        <v>29476498.829999998</v>
      </c>
      <c r="E160" s="137">
        <f>'DOE25'!I499</f>
        <v>1526031.39</v>
      </c>
      <c r="F160" s="137">
        <f>'DOE25'!J499</f>
        <v>0</v>
      </c>
      <c r="G160" s="138">
        <f t="shared" si="0"/>
        <v>31372310.219999999</v>
      </c>
    </row>
    <row r="161" spans="1:7" x14ac:dyDescent="0.2">
      <c r="A161" s="22" t="s">
        <v>37</v>
      </c>
      <c r="B161" s="137">
        <f>'DOE25'!F500</f>
        <v>3867500</v>
      </c>
      <c r="C161" s="137">
        <f>'DOE25'!G500</f>
        <v>122280</v>
      </c>
      <c r="D161" s="137">
        <f>'DOE25'!H500</f>
        <v>54007692.469999999</v>
      </c>
      <c r="E161" s="137">
        <f>'DOE25'!I500</f>
        <v>2796038.78</v>
      </c>
      <c r="F161" s="137">
        <f>'DOE25'!J500</f>
        <v>0</v>
      </c>
      <c r="G161" s="138">
        <f t="shared" si="0"/>
        <v>60793511.25</v>
      </c>
    </row>
    <row r="162" spans="1:7" x14ac:dyDescent="0.2">
      <c r="A162" s="22" t="s">
        <v>38</v>
      </c>
      <c r="B162" s="137">
        <f>'DOE25'!F501</f>
        <v>875000</v>
      </c>
      <c r="C162" s="137">
        <f>'DOE25'!G501</f>
        <v>120000</v>
      </c>
      <c r="D162" s="137">
        <f>'DOE25'!H501</f>
        <v>1673555.7200000002</v>
      </c>
      <c r="E162" s="137">
        <f>'DOE25'!I501</f>
        <v>86641.86</v>
      </c>
      <c r="F162" s="137">
        <f>'DOE25'!J501</f>
        <v>0</v>
      </c>
      <c r="G162" s="138">
        <f t="shared" si="0"/>
        <v>2755197.58</v>
      </c>
    </row>
    <row r="163" spans="1:7" x14ac:dyDescent="0.2">
      <c r="A163" s="22" t="s">
        <v>39</v>
      </c>
      <c r="B163" s="137">
        <f>'DOE25'!F502</f>
        <v>160781.25</v>
      </c>
      <c r="C163" s="137">
        <f>'DOE25'!G502</f>
        <v>2280</v>
      </c>
      <c r="D163" s="137">
        <f>'DOE25'!H502</f>
        <v>575400.78</v>
      </c>
      <c r="E163" s="137">
        <f>'DOE25'!I502</f>
        <v>29789.14</v>
      </c>
      <c r="F163" s="137">
        <f>'DOE25'!J502</f>
        <v>0</v>
      </c>
      <c r="G163" s="138">
        <f t="shared" si="0"/>
        <v>768251.17</v>
      </c>
    </row>
    <row r="164" spans="1:7" x14ac:dyDescent="0.2">
      <c r="A164" s="22" t="s">
        <v>246</v>
      </c>
      <c r="B164" s="137">
        <f>'DOE25'!F503</f>
        <v>1035781.25</v>
      </c>
      <c r="C164" s="137">
        <f>'DOE25'!G503</f>
        <v>122280</v>
      </c>
      <c r="D164" s="137">
        <f>'DOE25'!H503</f>
        <v>2248956.5</v>
      </c>
      <c r="E164" s="137">
        <f>'DOE25'!I503</f>
        <v>116431</v>
      </c>
      <c r="F164" s="137">
        <f>'DOE25'!J503</f>
        <v>0</v>
      </c>
      <c r="G164" s="138">
        <f t="shared" si="0"/>
        <v>3523448.75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7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740</v>
      </c>
      <c r="B1" s="286"/>
      <c r="C1" s="286"/>
      <c r="D1" s="286"/>
    </row>
    <row r="2" spans="1:4" x14ac:dyDescent="0.2">
      <c r="A2" s="187" t="s">
        <v>717</v>
      </c>
      <c r="B2" s="186" t="str">
        <f>'DOE25'!A2</f>
        <v>KEENE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18152</v>
      </c>
    </row>
    <row r="5" spans="1:4" x14ac:dyDescent="0.2">
      <c r="B5" t="s">
        <v>704</v>
      </c>
      <c r="C5" s="179">
        <f>IF('DOE25'!G665+'DOE25'!G670=0,0,ROUND('DOE25'!G672,0))</f>
        <v>13740</v>
      </c>
    </row>
    <row r="6" spans="1:4" x14ac:dyDescent="0.2">
      <c r="B6" t="s">
        <v>62</v>
      </c>
      <c r="C6" s="179">
        <f>IF('DOE25'!H665+'DOE25'!H670=0,0,ROUND('DOE25'!H672,0))</f>
        <v>15136</v>
      </c>
    </row>
    <row r="7" spans="1:4" x14ac:dyDescent="0.2">
      <c r="B7" t="s">
        <v>705</v>
      </c>
      <c r="C7" s="179">
        <f>IF('DOE25'!I665+'DOE25'!I670=0,0,ROUND('DOE25'!I672,0))</f>
        <v>15958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21428429</v>
      </c>
      <c r="D10" s="182">
        <f>ROUND((C10/$C$28)*100,1)</f>
        <v>36.4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11725213</v>
      </c>
      <c r="D11" s="182">
        <f>ROUND((C11/$C$28)*100,1)</f>
        <v>19.899999999999999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1411214</v>
      </c>
      <c r="D12" s="182">
        <f>ROUND((C12/$C$28)*100,1)</f>
        <v>2.4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832843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5713400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2044973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4131446</v>
      </c>
      <c r="D17" s="182">
        <f t="shared" si="0"/>
        <v>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3077009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111269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4733335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1873470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8198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449435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ROUND('DOE25'!L261+'DOE25'!L342,0)</f>
        <v>734046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633541.8600000001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58907821.859999999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1696770</v>
      </c>
    </row>
    <row r="30" spans="1:4" x14ac:dyDescent="0.2">
      <c r="B30" s="187" t="s">
        <v>729</v>
      </c>
      <c r="C30" s="180">
        <f>SUM(C28:C29)</f>
        <v>60604591.859999999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2842701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28181683</v>
      </c>
      <c r="D35" s="182">
        <f t="shared" ref="D35:D40" si="1">ROUND((C35/$C$41)*100,1)</f>
        <v>45.2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13366796.139999993</v>
      </c>
      <c r="D36" s="182">
        <f t="shared" si="1"/>
        <v>21.5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14792402</v>
      </c>
      <c r="D37" s="182">
        <f t="shared" si="1"/>
        <v>23.7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2498817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3463630</v>
      </c>
      <c r="D39" s="182">
        <f t="shared" si="1"/>
        <v>5.6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937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62304265.139999993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7" t="s">
        <v>770</v>
      </c>
      <c r="B1" s="298"/>
      <c r="C1" s="298"/>
      <c r="D1" s="298"/>
      <c r="E1" s="298"/>
      <c r="F1" s="298"/>
      <c r="G1" s="298"/>
      <c r="H1" s="298"/>
      <c r="I1" s="298"/>
      <c r="J1" s="213"/>
      <c r="K1" s="213"/>
      <c r="L1" s="213"/>
      <c r="M1" s="214"/>
    </row>
    <row r="2" spans="1:26" ht="12.75" x14ac:dyDescent="0.2">
      <c r="A2" s="303" t="s">
        <v>767</v>
      </c>
      <c r="B2" s="304"/>
      <c r="C2" s="304"/>
      <c r="D2" s="304"/>
      <c r="E2" s="304"/>
      <c r="F2" s="301" t="str">
        <f>'DOE25'!A2</f>
        <v>KEENE SCHOOL DISTRICT</v>
      </c>
      <c r="G2" s="302"/>
      <c r="H2" s="302"/>
      <c r="I2" s="30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9" t="s">
        <v>771</v>
      </c>
      <c r="D3" s="299"/>
      <c r="E3" s="299"/>
      <c r="F3" s="299"/>
      <c r="G3" s="299"/>
      <c r="H3" s="299"/>
      <c r="I3" s="299"/>
      <c r="J3" s="299"/>
      <c r="K3" s="299"/>
      <c r="L3" s="299"/>
      <c r="M3" s="300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7"/>
      <c r="AO29" s="207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7"/>
      <c r="BB29" s="207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7"/>
      <c r="BO29" s="207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7"/>
      <c r="CB29" s="207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7"/>
      <c r="CO29" s="207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7"/>
      <c r="DB29" s="207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7"/>
      <c r="DO29" s="207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7"/>
      <c r="EB29" s="207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7"/>
      <c r="EO29" s="207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7"/>
      <c r="FB29" s="207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7"/>
      <c r="FO29" s="207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7"/>
      <c r="GB29" s="207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7"/>
      <c r="GO29" s="207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7"/>
      <c r="HB29" s="207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7"/>
      <c r="HO29" s="207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7"/>
      <c r="IB29" s="207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7"/>
      <c r="IO29" s="207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7"/>
      <c r="AO30" s="207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7"/>
      <c r="BB30" s="207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7"/>
      <c r="BO30" s="207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7"/>
      <c r="CB30" s="207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7"/>
      <c r="CO30" s="207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7"/>
      <c r="DB30" s="207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7"/>
      <c r="DO30" s="207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7"/>
      <c r="EB30" s="207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7"/>
      <c r="EO30" s="207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7"/>
      <c r="FB30" s="207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7"/>
      <c r="FO30" s="207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7"/>
      <c r="GB30" s="207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7"/>
      <c r="GO30" s="207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7"/>
      <c r="HB30" s="207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7"/>
      <c r="HO30" s="207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7"/>
      <c r="IB30" s="207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7"/>
      <c r="IO30" s="207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7"/>
      <c r="AO31" s="207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7"/>
      <c r="BB31" s="207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7"/>
      <c r="BO31" s="207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7"/>
      <c r="CB31" s="207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7"/>
      <c r="CO31" s="207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7"/>
      <c r="DB31" s="207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7"/>
      <c r="DO31" s="207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7"/>
      <c r="EB31" s="207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7"/>
      <c r="EO31" s="207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7"/>
      <c r="FB31" s="207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7"/>
      <c r="FO31" s="207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7"/>
      <c r="GB31" s="207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7"/>
      <c r="GO31" s="207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7"/>
      <c r="HB31" s="207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7"/>
      <c r="HO31" s="207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7"/>
      <c r="IB31" s="207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7"/>
      <c r="IO31" s="207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7"/>
      <c r="AO38" s="207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7"/>
      <c r="BB38" s="207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7"/>
      <c r="BO38" s="207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7"/>
      <c r="CB38" s="207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7"/>
      <c r="CO38" s="207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7"/>
      <c r="DB38" s="207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7"/>
      <c r="DO38" s="207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7"/>
      <c r="EB38" s="207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7"/>
      <c r="EO38" s="207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7"/>
      <c r="FB38" s="207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7"/>
      <c r="FO38" s="207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7"/>
      <c r="GB38" s="207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7"/>
      <c r="GO38" s="207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7"/>
      <c r="HB38" s="207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7"/>
      <c r="HO38" s="207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7"/>
      <c r="IB38" s="207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7"/>
      <c r="IO38" s="207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7"/>
      <c r="AO39" s="207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7"/>
      <c r="BB39" s="207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7"/>
      <c r="BO39" s="207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7"/>
      <c r="CB39" s="207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7"/>
      <c r="CO39" s="207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7"/>
      <c r="DB39" s="207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7"/>
      <c r="DO39" s="207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7"/>
      <c r="EB39" s="207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7"/>
      <c r="EO39" s="207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7"/>
      <c r="FB39" s="207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7"/>
      <c r="FO39" s="207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7"/>
      <c r="GB39" s="207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7"/>
      <c r="GO39" s="207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7"/>
      <c r="HB39" s="207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7"/>
      <c r="HO39" s="207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7"/>
      <c r="IB39" s="207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7"/>
      <c r="IO39" s="207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7"/>
      <c r="AO40" s="207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7"/>
      <c r="BB40" s="207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7"/>
      <c r="BO40" s="207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7"/>
      <c r="CB40" s="207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7"/>
      <c r="CO40" s="207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7"/>
      <c r="DB40" s="207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7"/>
      <c r="DO40" s="207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7"/>
      <c r="EB40" s="207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7"/>
      <c r="EO40" s="207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7"/>
      <c r="FB40" s="207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7"/>
      <c r="FO40" s="207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7"/>
      <c r="GB40" s="207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7"/>
      <c r="GO40" s="207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7"/>
      <c r="HB40" s="207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7"/>
      <c r="HO40" s="207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7"/>
      <c r="IB40" s="207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7"/>
      <c r="IO40" s="207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2" t="s">
        <v>848</v>
      </c>
      <c r="B72" s="292"/>
      <c r="C72" s="292"/>
      <c r="D72" s="292"/>
      <c r="E72" s="29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</row>
    <row r="74" spans="1:13" x14ac:dyDescent="0.2">
      <c r="A74" s="211"/>
      <c r="B74" s="211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</row>
    <row r="75" spans="1:13" x14ac:dyDescent="0.2">
      <c r="A75" s="211"/>
      <c r="B75" s="211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</row>
    <row r="76" spans="1:13" x14ac:dyDescent="0.2">
      <c r="A76" s="211"/>
      <c r="B76" s="211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</row>
    <row r="77" spans="1:13" x14ac:dyDescent="0.2">
      <c r="A77" s="211"/>
      <c r="B77" s="211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</row>
    <row r="78" spans="1:13" x14ac:dyDescent="0.2">
      <c r="A78" s="211"/>
      <c r="B78" s="211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</row>
    <row r="79" spans="1:13" x14ac:dyDescent="0.2">
      <c r="A79" s="211"/>
      <c r="B79" s="211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</row>
    <row r="80" spans="1:13" x14ac:dyDescent="0.2">
      <c r="A80" s="211"/>
      <c r="B80" s="211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</row>
    <row r="81" spans="1:13" x14ac:dyDescent="0.2">
      <c r="A81" s="211"/>
      <c r="B81" s="211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</row>
    <row r="82" spans="1:13" x14ac:dyDescent="0.2">
      <c r="A82" s="211"/>
      <c r="B82" s="211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</row>
    <row r="83" spans="1:13" x14ac:dyDescent="0.2">
      <c r="A83" s="211"/>
      <c r="B83" s="211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</row>
    <row r="84" spans="1:13" x14ac:dyDescent="0.2">
      <c r="A84" s="211"/>
      <c r="B84" s="211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</row>
    <row r="85" spans="1:13" x14ac:dyDescent="0.2">
      <c r="A85" s="211"/>
      <c r="B85" s="211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</row>
    <row r="86" spans="1:13" x14ac:dyDescent="0.2">
      <c r="A86" s="211"/>
      <c r="B86" s="211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</row>
    <row r="87" spans="1:13" x14ac:dyDescent="0.2">
      <c r="A87" s="211"/>
      <c r="B87" s="211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</row>
    <row r="88" spans="1:13" x14ac:dyDescent="0.2">
      <c r="A88" s="211"/>
      <c r="B88" s="211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</row>
    <row r="89" spans="1:13" x14ac:dyDescent="0.2">
      <c r="A89" s="211"/>
      <c r="B89" s="211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</row>
    <row r="90" spans="1:13" x14ac:dyDescent="0.2">
      <c r="A90" s="211"/>
      <c r="B90" s="211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1.25" x14ac:dyDescent="0.2"/>
  <cols>
    <col min="2" max="2" width="11" bestFit="1" customWidth="1"/>
    <col min="3" max="4" width="11.1640625" customWidth="1"/>
    <col min="6" max="6" width="11" customWidth="1"/>
    <col min="7" max="7" width="11.5" customWidth="1"/>
  </cols>
  <sheetData>
    <row r="1" spans="1:8" x14ac:dyDescent="0.2">
      <c r="A1" s="280"/>
      <c r="B1" s="280"/>
      <c r="C1" s="280"/>
      <c r="D1" s="275"/>
      <c r="F1" s="280"/>
      <c r="G1" s="280"/>
      <c r="H1" s="276"/>
    </row>
    <row r="2" spans="1:8" x14ac:dyDescent="0.2">
      <c r="A2" s="185"/>
      <c r="B2" s="185"/>
      <c r="C2" s="185"/>
      <c r="D2" s="185"/>
      <c r="F2" s="185"/>
      <c r="G2" s="185"/>
    </row>
    <row r="3" spans="1:8" x14ac:dyDescent="0.2">
      <c r="A3" s="185"/>
    </row>
    <row r="4" spans="1:8" x14ac:dyDescent="0.2">
      <c r="A4" s="185"/>
      <c r="E4" s="277"/>
    </row>
    <row r="5" spans="1:8" x14ac:dyDescent="0.2">
      <c r="E5" s="277"/>
    </row>
    <row r="6" spans="1:8" x14ac:dyDescent="0.2">
      <c r="E6" s="183"/>
    </row>
  </sheetData>
  <mergeCells count="2">
    <mergeCell ref="A1:C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2016-08-30T16:46:14Z</cp:lastPrinted>
  <dcterms:created xsi:type="dcterms:W3CDTF">1997-12-04T19:04:30Z</dcterms:created>
  <dcterms:modified xsi:type="dcterms:W3CDTF">2016-11-30T16:29:48Z</dcterms:modified>
</cp:coreProperties>
</file>