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0" yWindow="0" windowWidth="19200" windowHeight="1159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="1" iterateCount="1"/>
</workbook>
</file>

<file path=xl/calcChain.xml><?xml version="1.0" encoding="utf-8"?>
<calcChain xmlns="http://schemas.openxmlformats.org/spreadsheetml/2006/main">
  <c r="G276" i="1" l="1"/>
  <c r="H468" i="1" l="1"/>
  <c r="B10" i="12" l="1"/>
  <c r="H604" i="1"/>
  <c r="J604" i="1"/>
  <c r="I604" i="1"/>
  <c r="G31" i="1" l="1"/>
  <c r="H368" i="1"/>
  <c r="G368" i="1"/>
  <c r="F368" i="1"/>
  <c r="F367" i="1"/>
  <c r="C37" i="12" l="1"/>
  <c r="C30" i="12"/>
  <c r="C28" i="12" s="1"/>
  <c r="C29" i="12"/>
  <c r="B28" i="12"/>
  <c r="B30" i="12"/>
  <c r="B29" i="12"/>
  <c r="C21" i="12"/>
  <c r="C20" i="12"/>
  <c r="B21" i="12"/>
  <c r="B20" i="12"/>
  <c r="B19" i="12"/>
  <c r="C11" i="12"/>
  <c r="C12" i="12"/>
  <c r="B12" i="12"/>
  <c r="B11" i="12"/>
  <c r="J523" i="1"/>
  <c r="H523" i="1"/>
  <c r="G523" i="1"/>
  <c r="F523" i="1"/>
  <c r="J522" i="1"/>
  <c r="I522" i="1"/>
  <c r="H522" i="1"/>
  <c r="G522" i="1"/>
  <c r="F522" i="1"/>
  <c r="F521" i="1"/>
  <c r="G527" i="1"/>
  <c r="G528" i="1"/>
  <c r="G526" i="1"/>
  <c r="J521" i="1"/>
  <c r="I521" i="1"/>
  <c r="H521" i="1"/>
  <c r="G521" i="1"/>
  <c r="G532" i="1"/>
  <c r="G533" i="1"/>
  <c r="G531" i="1"/>
  <c r="I613" i="1"/>
  <c r="I612" i="1"/>
  <c r="I611" i="1"/>
  <c r="F613" i="1"/>
  <c r="F612" i="1"/>
  <c r="F611" i="1"/>
  <c r="J595" i="1"/>
  <c r="I595" i="1"/>
  <c r="J592" i="1"/>
  <c r="I592" i="1"/>
  <c r="H595" i="1"/>
  <c r="H592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C112" i="2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H662" i="1" s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E110" i="2" s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E111" i="2" s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25" i="10" s="1"/>
  <c r="L341" i="1"/>
  <c r="L342" i="1"/>
  <c r="L255" i="1"/>
  <c r="L336" i="1"/>
  <c r="E130" i="2" s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0" i="12" s="1"/>
  <c r="C13" i="12" s="1"/>
  <c r="B18" i="12"/>
  <c r="B22" i="12"/>
  <c r="C18" i="12"/>
  <c r="C19" i="12" s="1"/>
  <c r="C22" i="12" s="1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C57" i="2" s="1"/>
  <c r="F94" i="1"/>
  <c r="F111" i="1"/>
  <c r="G111" i="1"/>
  <c r="H79" i="1"/>
  <c r="E57" i="2" s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G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E134" i="2" s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H552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F18" i="2" s="1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D18" i="2" s="1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E31" i="2" s="1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2" i="2"/>
  <c r="C113" i="2"/>
  <c r="E113" i="2"/>
  <c r="C114" i="2"/>
  <c r="D115" i="2"/>
  <c r="F115" i="2"/>
  <c r="G115" i="2"/>
  <c r="C119" i="2"/>
  <c r="E121" i="2"/>
  <c r="C123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G156" i="2" s="1"/>
  <c r="C156" i="2"/>
  <c r="D156" i="2"/>
  <c r="E156" i="2"/>
  <c r="F156" i="2"/>
  <c r="B157" i="2"/>
  <c r="C157" i="2"/>
  <c r="D157" i="2"/>
  <c r="E157" i="2"/>
  <c r="G157" i="2" s="1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19" i="1"/>
  <c r="G618" i="1" s="1"/>
  <c r="H19" i="1"/>
  <c r="I19" i="1"/>
  <c r="G620" i="1" s="1"/>
  <c r="F32" i="1"/>
  <c r="F52" i="1" s="1"/>
  <c r="G32" i="1"/>
  <c r="H32" i="1"/>
  <c r="I32" i="1"/>
  <c r="H617" i="1"/>
  <c r="J617" i="1" s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F362" i="1"/>
  <c r="G362" i="1"/>
  <c r="H362" i="1"/>
  <c r="I362" i="1"/>
  <c r="J362" i="1"/>
  <c r="K362" i="1"/>
  <c r="I368" i="1"/>
  <c r="F369" i="1"/>
  <c r="G369" i="1"/>
  <c r="H369" i="1"/>
  <c r="I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H644" i="1" s="1"/>
  <c r="J644" i="1" s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7" i="1" s="1"/>
  <c r="L425" i="1"/>
  <c r="L426" i="1"/>
  <c r="F427" i="1"/>
  <c r="G427" i="1"/>
  <c r="H427" i="1"/>
  <c r="I427" i="1"/>
  <c r="J427" i="1"/>
  <c r="L429" i="1"/>
  <c r="L433" i="1" s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461" i="1"/>
  <c r="F470" i="1"/>
  <c r="G470" i="1"/>
  <c r="H470" i="1"/>
  <c r="J470" i="1"/>
  <c r="F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44" i="1"/>
  <c r="L557" i="1"/>
  <c r="L558" i="1"/>
  <c r="L560" i="1" s="1"/>
  <c r="L559" i="1"/>
  <c r="F560" i="1"/>
  <c r="G560" i="1"/>
  <c r="H560" i="1"/>
  <c r="H571" i="1" s="1"/>
  <c r="I560" i="1"/>
  <c r="J560" i="1"/>
  <c r="K560" i="1"/>
  <c r="L562" i="1"/>
  <c r="L565" i="1" s="1"/>
  <c r="L563" i="1"/>
  <c r="L564" i="1"/>
  <c r="F565" i="1"/>
  <c r="G565" i="1"/>
  <c r="H565" i="1"/>
  <c r="I565" i="1"/>
  <c r="J565" i="1"/>
  <c r="K565" i="1"/>
  <c r="K571" i="1" s="1"/>
  <c r="L567" i="1"/>
  <c r="L568" i="1"/>
  <c r="L569" i="1"/>
  <c r="F570" i="1"/>
  <c r="F571" i="1" s="1"/>
  <c r="G570" i="1"/>
  <c r="H570" i="1"/>
  <c r="I570" i="1"/>
  <c r="J570" i="1"/>
  <c r="J571" i="1" s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G617" i="1"/>
  <c r="G619" i="1"/>
  <c r="G622" i="1"/>
  <c r="G623" i="1"/>
  <c r="G624" i="1"/>
  <c r="H627" i="1"/>
  <c r="H628" i="1"/>
  <c r="H629" i="1"/>
  <c r="H631" i="1"/>
  <c r="H632" i="1"/>
  <c r="G634" i="1"/>
  <c r="H634" i="1"/>
  <c r="H637" i="1"/>
  <c r="H638" i="1"/>
  <c r="G639" i="1"/>
  <c r="H639" i="1"/>
  <c r="J639" i="1" s="1"/>
  <c r="G640" i="1"/>
  <c r="H640" i="1"/>
  <c r="G641" i="1"/>
  <c r="H641" i="1"/>
  <c r="J641" i="1" s="1"/>
  <c r="G643" i="1"/>
  <c r="H643" i="1"/>
  <c r="J643" i="1" s="1"/>
  <c r="G644" i="1"/>
  <c r="G645" i="1"/>
  <c r="H645" i="1"/>
  <c r="J645" i="1" s="1"/>
  <c r="G650" i="1"/>
  <c r="G651" i="1"/>
  <c r="J651" i="1" s="1"/>
  <c r="G652" i="1"/>
  <c r="H652" i="1"/>
  <c r="G653" i="1"/>
  <c r="H653" i="1"/>
  <c r="G654" i="1"/>
  <c r="H654" i="1"/>
  <c r="H655" i="1"/>
  <c r="F192" i="1"/>
  <c r="I257" i="1"/>
  <c r="A31" i="12"/>
  <c r="D62" i="2"/>
  <c r="D63" i="2" s="1"/>
  <c r="C91" i="2"/>
  <c r="F78" i="2"/>
  <c r="C78" i="2"/>
  <c r="G161" i="2"/>
  <c r="D91" i="2"/>
  <c r="G62" i="2"/>
  <c r="D19" i="13"/>
  <c r="C19" i="13" s="1"/>
  <c r="E78" i="2"/>
  <c r="H112" i="1"/>
  <c r="L419" i="1"/>
  <c r="I169" i="1"/>
  <c r="J476" i="1"/>
  <c r="H626" i="1" s="1"/>
  <c r="J140" i="1"/>
  <c r="G22" i="2"/>
  <c r="J552" i="1"/>
  <c r="H140" i="1"/>
  <c r="F22" i="13"/>
  <c r="C22" i="13" s="1"/>
  <c r="J640" i="1"/>
  <c r="J634" i="1"/>
  <c r="H192" i="1"/>
  <c r="J655" i="1"/>
  <c r="L570" i="1"/>
  <c r="I571" i="1"/>
  <c r="G36" i="2"/>
  <c r="E119" i="2" l="1"/>
  <c r="E120" i="2"/>
  <c r="D50" i="2"/>
  <c r="D51" i="2" s="1"/>
  <c r="C16" i="10"/>
  <c r="K551" i="1"/>
  <c r="H545" i="1"/>
  <c r="F552" i="1"/>
  <c r="L524" i="1"/>
  <c r="I545" i="1"/>
  <c r="G552" i="1"/>
  <c r="K545" i="1"/>
  <c r="K550" i="1"/>
  <c r="L534" i="1"/>
  <c r="K549" i="1"/>
  <c r="G545" i="1"/>
  <c r="K598" i="1"/>
  <c r="G647" i="1" s="1"/>
  <c r="F476" i="1"/>
  <c r="H622" i="1" s="1"/>
  <c r="J622" i="1" s="1"/>
  <c r="C18" i="2"/>
  <c r="C13" i="10"/>
  <c r="E103" i="2"/>
  <c r="K338" i="1"/>
  <c r="C26" i="10"/>
  <c r="L270" i="1"/>
  <c r="D5" i="13"/>
  <c r="C5" i="13" s="1"/>
  <c r="C121" i="2"/>
  <c r="K257" i="1"/>
  <c r="K271" i="1" s="1"/>
  <c r="C110" i="2"/>
  <c r="H257" i="1"/>
  <c r="H271" i="1" s="1"/>
  <c r="F130" i="2"/>
  <c r="F144" i="2" s="1"/>
  <c r="F145" i="2" s="1"/>
  <c r="D29" i="13"/>
  <c r="C29" i="13" s="1"/>
  <c r="E62" i="2"/>
  <c r="E63" i="2" s="1"/>
  <c r="L211" i="1"/>
  <c r="A13" i="12"/>
  <c r="J257" i="1"/>
  <c r="J271" i="1" s="1"/>
  <c r="G338" i="1"/>
  <c r="G352" i="1" s="1"/>
  <c r="C11" i="10"/>
  <c r="H338" i="1"/>
  <c r="H352" i="1" s="1"/>
  <c r="C21" i="10"/>
  <c r="C20" i="10"/>
  <c r="D14" i="13"/>
  <c r="C14" i="13" s="1"/>
  <c r="C10" i="10"/>
  <c r="F338" i="1"/>
  <c r="F352" i="1" s="1"/>
  <c r="C122" i="2"/>
  <c r="G257" i="1"/>
  <c r="G271" i="1" s="1"/>
  <c r="C18" i="10"/>
  <c r="D7" i="13"/>
  <c r="C7" i="13" s="1"/>
  <c r="C118" i="2"/>
  <c r="C12" i="10"/>
  <c r="L256" i="1"/>
  <c r="D17" i="13"/>
  <c r="C17" i="13" s="1"/>
  <c r="G661" i="1"/>
  <c r="E118" i="2"/>
  <c r="L328" i="1"/>
  <c r="C17" i="10"/>
  <c r="F257" i="1"/>
  <c r="F271" i="1" s="1"/>
  <c r="F112" i="1"/>
  <c r="L309" i="1"/>
  <c r="D81" i="2"/>
  <c r="L247" i="1"/>
  <c r="L229" i="1"/>
  <c r="A40" i="12"/>
  <c r="L362" i="1"/>
  <c r="H661" i="1"/>
  <c r="C16" i="13"/>
  <c r="E13" i="13"/>
  <c r="C13" i="13" s="1"/>
  <c r="E8" i="13"/>
  <c r="C8" i="13" s="1"/>
  <c r="D12" i="13"/>
  <c r="C12" i="13" s="1"/>
  <c r="L290" i="1"/>
  <c r="F660" i="1" s="1"/>
  <c r="I271" i="1"/>
  <c r="L539" i="1"/>
  <c r="K503" i="1"/>
  <c r="L382" i="1"/>
  <c r="K352" i="1"/>
  <c r="E109" i="2"/>
  <c r="E115" i="2" s="1"/>
  <c r="C62" i="2"/>
  <c r="F661" i="1"/>
  <c r="C19" i="10"/>
  <c r="C15" i="10"/>
  <c r="G112" i="1"/>
  <c r="C81" i="2"/>
  <c r="C35" i="10"/>
  <c r="C29" i="10"/>
  <c r="I552" i="1"/>
  <c r="D6" i="13"/>
  <c r="C6" i="13" s="1"/>
  <c r="D15" i="13"/>
  <c r="C15" i="13" s="1"/>
  <c r="G649" i="1"/>
  <c r="J649" i="1" s="1"/>
  <c r="J338" i="1"/>
  <c r="J352" i="1" s="1"/>
  <c r="D127" i="2"/>
  <c r="D128" i="2" s="1"/>
  <c r="D145" i="2" s="1"/>
  <c r="C124" i="2"/>
  <c r="C120" i="2"/>
  <c r="C111" i="2"/>
  <c r="C115" i="2" s="1"/>
  <c r="C56" i="2"/>
  <c r="F662" i="1"/>
  <c r="I662" i="1" s="1"/>
  <c r="H25" i="13"/>
  <c r="E81" i="2"/>
  <c r="F81" i="2"/>
  <c r="L351" i="1"/>
  <c r="H647" i="1"/>
  <c r="G625" i="1"/>
  <c r="L614" i="1"/>
  <c r="L529" i="1"/>
  <c r="L337" i="1"/>
  <c r="F62" i="2"/>
  <c r="F63" i="2" s="1"/>
  <c r="F104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H193" i="1"/>
  <c r="G629" i="1" s="1"/>
  <c r="J629" i="1" s="1"/>
  <c r="G169" i="1"/>
  <c r="C39" i="10" s="1"/>
  <c r="G140" i="1"/>
  <c r="F140" i="1"/>
  <c r="G63" i="2"/>
  <c r="G104" i="2" s="1"/>
  <c r="J618" i="1"/>
  <c r="G42" i="2"/>
  <c r="G50" i="2" s="1"/>
  <c r="G51" i="2" s="1"/>
  <c r="J51" i="1"/>
  <c r="G16" i="2"/>
  <c r="J19" i="1"/>
  <c r="G621" i="1" s="1"/>
  <c r="G18" i="2"/>
  <c r="F545" i="1"/>
  <c r="H434" i="1"/>
  <c r="J620" i="1"/>
  <c r="J619" i="1"/>
  <c r="D103" i="2"/>
  <c r="D104" i="2" s="1"/>
  <c r="I140" i="1"/>
  <c r="I193" i="1" s="1"/>
  <c r="A22" i="12"/>
  <c r="H646" i="1"/>
  <c r="J652" i="1"/>
  <c r="J642" i="1"/>
  <c r="G571" i="1"/>
  <c r="I434" i="1"/>
  <c r="G434" i="1"/>
  <c r="I663" i="1"/>
  <c r="G636" i="1" l="1"/>
  <c r="I472" i="1"/>
  <c r="G630" i="1"/>
  <c r="I468" i="1"/>
  <c r="E128" i="2"/>
  <c r="C27" i="10"/>
  <c r="C28" i="10" s="1"/>
  <c r="D23" i="10" s="1"/>
  <c r="G472" i="1"/>
  <c r="K552" i="1"/>
  <c r="J647" i="1"/>
  <c r="L545" i="1"/>
  <c r="C63" i="2"/>
  <c r="C104" i="2" s="1"/>
  <c r="G635" i="1"/>
  <c r="E104" i="2"/>
  <c r="F193" i="1"/>
  <c r="G627" i="1" s="1"/>
  <c r="J627" i="1" s="1"/>
  <c r="C128" i="2"/>
  <c r="C145" i="2" s="1"/>
  <c r="H648" i="1"/>
  <c r="J648" i="1" s="1"/>
  <c r="G660" i="1"/>
  <c r="G664" i="1" s="1"/>
  <c r="G672" i="1" s="1"/>
  <c r="C5" i="10" s="1"/>
  <c r="H660" i="1"/>
  <c r="H664" i="1" s="1"/>
  <c r="H667" i="1" s="1"/>
  <c r="C36" i="10"/>
  <c r="L338" i="1"/>
  <c r="L352" i="1" s="1"/>
  <c r="E145" i="2"/>
  <c r="L257" i="1"/>
  <c r="L271" i="1" s="1"/>
  <c r="G632" i="1" s="1"/>
  <c r="J632" i="1" s="1"/>
  <c r="I661" i="1"/>
  <c r="C25" i="13"/>
  <c r="H33" i="13"/>
  <c r="E33" i="13"/>
  <c r="D35" i="13" s="1"/>
  <c r="D31" i="13"/>
  <c r="C31" i="13" s="1"/>
  <c r="F664" i="1"/>
  <c r="C51" i="2"/>
  <c r="G631" i="1"/>
  <c r="J631" i="1" s="1"/>
  <c r="J646" i="1"/>
  <c r="G193" i="1"/>
  <c r="G628" i="1" s="1"/>
  <c r="J628" i="1" s="1"/>
  <c r="G626" i="1"/>
  <c r="J626" i="1" s="1"/>
  <c r="J52" i="1"/>
  <c r="H621" i="1" s="1"/>
  <c r="J621" i="1" s="1"/>
  <c r="C38" i="10"/>
  <c r="I474" i="1" l="1"/>
  <c r="H636" i="1"/>
  <c r="J636" i="1" s="1"/>
  <c r="H630" i="1"/>
  <c r="I470" i="1"/>
  <c r="I476" i="1" s="1"/>
  <c r="H625" i="1" s="1"/>
  <c r="J625" i="1" s="1"/>
  <c r="J630" i="1"/>
  <c r="G474" i="1"/>
  <c r="G476" i="1" s="1"/>
  <c r="H623" i="1" s="1"/>
  <c r="J623" i="1" s="1"/>
  <c r="H635" i="1"/>
  <c r="J635" i="1" s="1"/>
  <c r="G633" i="1"/>
  <c r="H472" i="1"/>
  <c r="G667" i="1"/>
  <c r="I660" i="1"/>
  <c r="I664" i="1" s="1"/>
  <c r="I672" i="1" s="1"/>
  <c r="C7" i="10" s="1"/>
  <c r="D33" i="13"/>
  <c r="D36" i="13" s="1"/>
  <c r="D15" i="10"/>
  <c r="D20" i="10"/>
  <c r="H672" i="1"/>
  <c r="C6" i="10" s="1"/>
  <c r="D25" i="10"/>
  <c r="D10" i="10"/>
  <c r="D19" i="10"/>
  <c r="D13" i="10"/>
  <c r="D11" i="10"/>
  <c r="D21" i="10"/>
  <c r="D22" i="10"/>
  <c r="F672" i="1"/>
  <c r="C4" i="10" s="1"/>
  <c r="F667" i="1"/>
  <c r="D27" i="10"/>
  <c r="D18" i="10"/>
  <c r="D17" i="10"/>
  <c r="D12" i="10"/>
  <c r="D24" i="10"/>
  <c r="D26" i="10"/>
  <c r="C30" i="10"/>
  <c r="D16" i="10"/>
  <c r="C41" i="10"/>
  <c r="D38" i="10" s="1"/>
  <c r="H474" i="1" l="1"/>
  <c r="H476" i="1" s="1"/>
  <c r="H624" i="1" s="1"/>
  <c r="J624" i="1" s="1"/>
  <c r="H633" i="1"/>
  <c r="J633" i="1" s="1"/>
  <c r="I667" i="1"/>
  <c r="D28" i="10"/>
  <c r="D37" i="10"/>
  <c r="D36" i="10"/>
  <c r="D35" i="10"/>
  <c r="D40" i="10"/>
  <c r="D39" i="10"/>
  <c r="H656" i="1" l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<sst xmlns="http://schemas.openxmlformats.org/spreadsheetml/2006/main" count="3955" uniqueCount="913">
  <si>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</si>
  <si>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</si>
  <si>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</si>
  <si>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</si>
  <si>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</si>
  <si>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</si>
  <si>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</si>
  <si>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</si>
  <si>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</si>
  <si>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</si>
  <si>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</si>
  <si>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</si>
  <si>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</si>
  <si>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</si>
  <si>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</si>
  <si>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</si>
  <si>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</si>
  <si>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</si>
  <si>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</si>
  <si>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</si>
  <si>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</si>
  <si>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</si>
  <si>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</si>
  <si>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</si>
  <si>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</si>
  <si>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</si>
  <si>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</si>
  <si>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</si>
  <si>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</si>
  <si>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</si>
  <si>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</si>
  <si>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</si>
  <si>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</si>
  <si>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</si>
  <si>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</si>
  <si>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</si>
  <si>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</si>
  <si>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</si>
  <si>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</si>
  <si>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</si>
  <si>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</si>
  <si>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</si>
  <si>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</si>
  <si>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</si>
  <si>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</si>
  <si>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</si>
  <si>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</si>
  <si>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</si>
  <si>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</si>
  <si>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</si>
  <si>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</si>
  <si>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</si>
  <si>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</si>
  <si>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</si>
  <si>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</si>
  <si>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</si>
  <si>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</si>
  <si>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</si>
  <si>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</si>
  <si>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</si>
  <si>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</si>
  <si>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</si>
  <si>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</si>
  <si>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</si>
  <si>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</si>
  <si>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</si>
  <si>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</si>
  <si>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</si>
  <si>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</si>
  <si>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</si>
  <si>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</si>
  <si>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</si>
  <si>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</si>
  <si>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</si>
  <si>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</si>
  <si>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</si>
  <si>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</si>
  <si>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</si>
  <si>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</si>
  <si>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</si>
  <si>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</si>
  <si>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</si>
  <si>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</si>
  <si>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</si>
  <si>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</si>
  <si>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</si>
  <si>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</si>
  <si>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</si>
  <si>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</si>
  <si>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</si>
  <si>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</si>
  <si>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</si>
  <si>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</si>
  <si>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</si>
  <si>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</si>
  <si>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</si>
  <si>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</si>
  <si>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</si>
  <si>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</si>
  <si>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</si>
  <si>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</si>
  <si>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</si>
  <si>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</si>
  <si>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</si>
  <si>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</si>
  <si>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</si>
  <si>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</si>
  <si>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</si>
  <si>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</si>
  <si>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</si>
  <si>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</si>
  <si>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</si>
  <si>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</si>
  <si>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</si>
  <si>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</si>
  <si>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</si>
  <si>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</si>
  <si>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</si>
  <si>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</si>
  <si>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</si>
  <si>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</si>
  <si>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</si>
  <si>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</si>
  <si>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</si>
  <si>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</si>
  <si>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</si>
  <si>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</si>
  <si>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</si>
  <si>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</si>
  <si>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</si>
  <si>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</si>
  <si>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</si>
  <si>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</si>
  <si>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</si>
  <si>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</si>
  <si>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</si>
  <si>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</si>
  <si>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</si>
  <si>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</si>
  <si>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</si>
  <si>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</si>
  <si>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</si>
  <si>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</si>
  <si>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</si>
  <si>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</si>
  <si>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</si>
  <si>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</si>
  <si>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</si>
  <si>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</si>
  <si>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</si>
  <si>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</si>
  <si>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</si>
  <si>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</si>
  <si>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</si>
  <si>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</si>
  <si>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</si>
  <si>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</si>
  <si>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</si>
  <si>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</si>
  <si>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</si>
  <si>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</si>
  <si>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</si>
  <si>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</si>
  <si>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</si>
  <si>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</si>
  <si>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</si>
  <si>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</si>
  <si>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</si>
  <si>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</si>
  <si>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</si>
  <si>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</si>
  <si>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</si>
  <si>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</si>
  <si>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</si>
  <si>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</si>
  <si>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</si>
  <si>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</si>
  <si>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</si>
  <si>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</si>
  <si>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</si>
  <si>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</si>
  <si>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</si>
  <si>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</si>
  <si>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</si>
  <si>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</si>
  <si>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</si>
  <si>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</si>
  <si>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</si>
  <si>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</si>
  <si>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</si>
  <si>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</si>
  <si>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</si>
  <si>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</si>
  <si>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</si>
  <si>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</si>
  <si>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</si>
  <si>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</si>
  <si>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</si>
  <si>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</si>
  <si>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</si>
  <si>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</si>
  <si>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</si>
  <si>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</si>
  <si>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</si>
  <si>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</si>
  <si>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</si>
  <si>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</si>
  <si>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</si>
  <si>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</si>
  <si>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</si>
  <si>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</si>
  <si>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</si>
  <si>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</si>
  <si>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</si>
  <si>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</si>
  <si>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</si>
  <si>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</si>
  <si>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</si>
  <si>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</si>
  <si>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</si>
  <si>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</si>
  <si>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</si>
  <si>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</si>
  <si>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</si>
  <si>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</si>
  <si>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</si>
  <si>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</si>
  <si>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</si>
  <si>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</si>
  <si>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</si>
  <si>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</si>
  <si>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</si>
  <si>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</si>
  <si>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</si>
  <si>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</si>
  <si>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</si>
  <si>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</si>
  <si>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</si>
  <si>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</si>
  <si>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</si>
  <si>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</si>
  <si>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</si>
  <si>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</si>
  <si>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</si>
  <si>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</si>
  <si>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</si>
  <si>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</si>
  <si>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</si>
  <si>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</si>
  <si>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</si>
  <si>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</si>
  <si>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</si>
  <si>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</si>
  <si>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</si>
  <si>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</si>
  <si>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</si>
  <si>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</si>
  <si>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</si>
  <si>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</si>
  <si>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</si>
  <si>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</si>
  <si>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</si>
  <si>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</si>
  <si>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</si>
  <si>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</si>
  <si>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</si>
  <si>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</si>
  <si>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</si>
  <si>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</si>
  <si>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</si>
  <si>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</si>
  <si>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</si>
  <si>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</si>
  <si>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</si>
  <si>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</si>
  <si>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</si>
  <si>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</si>
  <si>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</si>
  <si>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</si>
  <si>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</si>
  <si>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</si>
  <si>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</si>
  <si>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</si>
  <si>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</si>
  <si>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</si>
  <si>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</si>
  <si>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</si>
  <si>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</si>
  <si>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</si>
  <si>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</si>
  <si>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</si>
  <si>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</si>
  <si>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</si>
  <si>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</si>
  <si>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</si>
  <si>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</si>
  <si>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</si>
  <si>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</si>
  <si>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</si>
  <si>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</si>
  <si>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</si>
  <si>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</si>
  <si>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</si>
  <si>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</si>
  <si>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</si>
  <si>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</si>
  <si>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</si>
  <si>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</si>
  <si>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</si>
  <si>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</si>
  <si>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</si>
  <si>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</si>
  <si>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</si>
  <si>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</si>
  <si>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</si>
  <si>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</si>
  <si>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</si>
  <si>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</si>
  <si>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</si>
  <si>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</si>
  <si>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</si>
  <si>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</si>
  <si>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</si>
  <si>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</si>
  <si>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</si>
  <si>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</si>
  <si>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</si>
  <si>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</si>
  <si>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</si>
  <si>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</si>
  <si>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</si>
  <si>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</si>
  <si>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</si>
  <si>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</si>
  <si>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</si>
  <si>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</si>
  <si>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</si>
  <si>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</si>
  <si>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</si>
  <si>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</si>
  <si>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</si>
  <si>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</si>
  <si>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</si>
  <si>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</si>
  <si>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</si>
  <si>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</si>
  <si>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</si>
  <si>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</si>
  <si>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</si>
  <si>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</si>
  <si>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</si>
  <si>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</si>
  <si>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</si>
  <si>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</si>
  <si>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</si>
  <si>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</si>
  <si>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</si>
  <si>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</si>
  <si>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</si>
  <si>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</si>
  <si>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</si>
  <si>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</si>
  <si>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</si>
  <si>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</si>
  <si>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</si>
  <si>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</si>
  <si>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</si>
  <si>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</si>
  <si>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</si>
  <si>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</si>
  <si>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</si>
  <si>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</si>
  <si>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</si>
  <si>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</si>
  <si>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</si>
  <si>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</si>
  <si>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</si>
  <si>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</si>
  <si>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</si>
  <si>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</si>
  <si>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</si>
  <si>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</si>
  <si>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</si>
  <si>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</si>
  <si>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</si>
  <si>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</si>
  <si>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</si>
  <si>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</si>
  <si>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</si>
  <si>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</si>
  <si>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</si>
  <si>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</si>
  <si>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</si>
  <si>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</si>
  <si>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</si>
  <si>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</si>
  <si>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</si>
  <si>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</si>
  <si>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</si>
  <si>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</si>
  <si>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</si>
  <si>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</si>
  <si>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</si>
  <si>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</si>
  <si>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</si>
  <si>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</si>
  <si>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</si>
  <si>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</si>
  <si>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</si>
  <si>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</si>
  <si>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</si>
  <si>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</si>
  <si>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</si>
  <si>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</si>
  <si>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</si>
  <si>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</si>
  <si>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</si>
  <si>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</si>
  <si>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</si>
  <si>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</si>
  <si>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</si>
  <si>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</si>
  <si>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</si>
  <si>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</si>
  <si>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</si>
  <si>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</si>
  <si>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</si>
  <si>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</si>
  <si>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</si>
  <si>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</si>
  <si>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</si>
  <si>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</si>
  <si>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</si>
  <si>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</si>
  <si>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</si>
  <si>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</si>
  <si>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</si>
  <si>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</si>
  <si>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</si>
  <si>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</si>
  <si>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</si>
  <si>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</si>
  <si>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</si>
  <si>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</si>
  <si>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</si>
  <si>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</si>
  <si>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</si>
  <si>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</si>
  <si>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</si>
  <si>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</si>
  <si>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</si>
  <si>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</si>
  <si>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</si>
  <si>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</si>
  <si>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</si>
  <si>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</si>
  <si>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</si>
  <si>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</si>
  <si>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</si>
  <si>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</si>
  <si>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</si>
  <si>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</si>
  <si>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</si>
  <si>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</si>
  <si>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</si>
  <si>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</si>
  <si>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</si>
  <si>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</si>
  <si>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</si>
  <si>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</si>
  <si>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</si>
  <si>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</si>
  <si>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</si>
  <si>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</si>
  <si>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</si>
  <si>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</si>
  <si>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</si>
  <si>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</si>
  <si>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</si>
  <si>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</si>
  <si>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</si>
  <si>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</si>
  <si>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</si>
  <si>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</si>
  <si>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</si>
  <si>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</si>
  <si>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</si>
  <si>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</si>
  <si>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</si>
  <si>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</si>
  <si>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</si>
  <si>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</si>
  <si>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</si>
  <si>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</si>
  <si>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</si>
  <si>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</si>
  <si>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</si>
  <si>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</si>
  <si>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</si>
  <si>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</si>
  <si>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</si>
  <si>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</si>
  <si>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</si>
  <si>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</si>
  <si>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</si>
  <si>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</si>
  <si>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</si>
  <si>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</si>
  <si>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</si>
  <si>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</si>
  <si>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</si>
  <si>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</si>
  <si>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</si>
  <si>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</si>
  <si>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</si>
  <si>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</si>
  <si>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</si>
  <si>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</si>
  <si>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</si>
  <si>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</si>
  <si>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</si>
  <si>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</si>
  <si>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</si>
  <si>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</si>
  <si>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</si>
  <si>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</si>
  <si>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</si>
  <si>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</si>
  <si>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</si>
  <si>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</si>
  <si>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</si>
  <si>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</si>
  <si>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</si>
  <si>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</si>
  <si>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</si>
  <si>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</si>
  <si>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</si>
  <si>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</si>
  <si>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</si>
  <si>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</si>
  <si>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</si>
  <si>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</si>
  <si>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</si>
  <si>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</si>
  <si>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</si>
  <si>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</si>
  <si>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</si>
  <si>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</si>
  <si>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</si>
  <si>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</si>
  <si>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</si>
  <si>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</si>
  <si>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</si>
  <si>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</si>
  <si>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</si>
  <si>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</si>
  <si>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</si>
  <si>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</si>
  <si>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</si>
  <si>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</si>
  <si>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</si>
  <si>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</si>
  <si>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</si>
  <si>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</si>
  <si>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</si>
  <si>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</si>
  <si>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</si>
  <si>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</si>
  <si>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</si>
  <si>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</si>
  <si>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</si>
  <si>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</si>
  <si>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</si>
  <si>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</si>
  <si>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</si>
  <si>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</si>
  <si>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</si>
  <si>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</si>
  <si>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</si>
  <si>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</si>
  <si>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</si>
  <si>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</si>
  <si>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</si>
  <si>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</si>
  <si>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</si>
  <si>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</si>
  <si>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</si>
  <si>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</si>
  <si>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</si>
  <si>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</si>
  <si>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</si>
  <si>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</si>
  <si>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</si>
  <si>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</si>
  <si>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</si>
  <si>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</si>
  <si>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</si>
  <si>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</si>
  <si>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</si>
  <si>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</si>
  <si>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</si>
  <si>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</si>
  <si>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</si>
  <si>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</si>
  <si>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</si>
  <si>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</si>
  <si>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</si>
  <si>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</si>
  <si>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</si>
  <si>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</si>
  <si>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</si>
  <si>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</si>
  <si>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</si>
  <si>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</si>
  <si>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</si>
  <si>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</si>
  <si>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</si>
  <si>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</si>
  <si>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</si>
  <si>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</si>
  <si>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</si>
  <si>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</si>
  <si>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</si>
  <si>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</si>
  <si>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</si>
  <si>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</si>
  <si>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</si>
  <si>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</si>
  <si>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</si>
  <si>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</si>
  <si>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</si>
  <si>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</si>
  <si>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</si>
  <si>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</si>
  <si>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</si>
  <si>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</si>
  <si>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</si>
  <si>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</si>
  <si>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</si>
  <si>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</si>
  <si>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</si>
  <si>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</si>
  <si>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</si>
  <si>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</si>
  <si>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</si>
  <si>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</si>
  <si>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</si>
  <si>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</si>
  <si>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</si>
  <si>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</si>
  <si>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</si>
  <si>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</si>
  <si>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</si>
  <si>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</si>
  <si>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</si>
  <si>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</si>
  <si>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</si>
  <si>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</si>
  <si>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</si>
  <si>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</si>
  <si>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</si>
  <si>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</si>
  <si>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</si>
  <si>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</si>
  <si>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</si>
  <si>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</si>
  <si>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</si>
  <si>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</si>
  <si>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</si>
  <si>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</si>
  <si>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</si>
  <si>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</si>
  <si>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</si>
  <si>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</si>
  <si>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</si>
  <si>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</si>
  <si>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</si>
  <si>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</si>
  <si>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</si>
  <si>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</si>
  <si>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</si>
  <si>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</si>
  <si>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</si>
  <si>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</si>
  <si>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</si>
  <si>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</si>
  <si>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</si>
  <si>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</si>
  <si>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</si>
  <si>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</si>
  <si>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</si>
  <si>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</si>
  <si>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</si>
  <si>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</si>
  <si>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</si>
  <si>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</si>
  <si>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</si>
  <si>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</si>
  <si>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</si>
  <si>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</si>
  <si>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</si>
  <si>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</si>
  <si>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</si>
  <si>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</si>
  <si>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</si>
  <si>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</si>
  <si>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</si>
  <si>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</si>
  <si>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</si>
  <si>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</si>
  <si>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</si>
  <si>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</si>
  <si>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</si>
  <si>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</si>
  <si>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</si>
  <si>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</si>
  <si>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</si>
  <si>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</si>
  <si>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</si>
  <si>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</si>
  <si>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</si>
  <si>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</si>
  <si>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</si>
  <si>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</si>
  <si>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</si>
  <si>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</si>
  <si>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</si>
  <si>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</si>
  <si>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</si>
  <si>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</si>
  <si>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</si>
  <si>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</si>
  <si>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</si>
  <si>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</si>
  <si>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</si>
  <si>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</si>
  <si>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</si>
  <si>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</si>
  <si>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</si>
  <si>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</si>
  <si>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</si>
  <si>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</si>
  <si>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</si>
  <si>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</si>
  <si>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</si>
  <si>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</si>
  <si>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</si>
  <si>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</si>
  <si>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</si>
  <si>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</si>
  <si>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</si>
  <si>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</si>
  <si>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</si>
  <si>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</si>
  <si>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</si>
  <si>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</si>
  <si>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</si>
  <si>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</si>
  <si>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</si>
  <si>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</si>
  <si>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</si>
  <si>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</si>
  <si>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</si>
  <si>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</si>
  <si>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</si>
  <si>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</si>
  <si>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</si>
  <si>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</si>
  <si>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</si>
  <si>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</si>
  <si>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</si>
  <si>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</si>
  <si>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</si>
  <si>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</si>
  <si>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</si>
  <si>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</si>
  <si>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</si>
  <si>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</si>
  <si>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</si>
  <si>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</si>
  <si>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</si>
  <si>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</si>
  <si>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</si>
  <si>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</si>
  <si>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</si>
  <si>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</si>
  <si>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</si>
  <si>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</si>
  <si>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</si>
  <si>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</si>
  <si>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</si>
  <si>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</si>
  <si>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</si>
  <si>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</si>
  <si>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</si>
  <si>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</si>
  <si>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</si>
  <si>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</si>
  <si>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</si>
  <si>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</si>
  <si>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</si>
  <si>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</si>
  <si>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</si>
  <si>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</si>
  <si>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</si>
  <si>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</si>
  <si>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</si>
  <si>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</si>
  <si>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</si>
  <si>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</si>
  <si>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</si>
  <si>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</si>
  <si>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</si>
  <si>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</si>
  <si>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</si>
  <si>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</si>
  <si>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</si>
  <si>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</si>
  <si>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</si>
  <si>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</si>
  <si>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</si>
  <si>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</si>
  <si>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</si>
  <si>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</si>
  <si>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</si>
  <si>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</si>
  <si>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</si>
  <si>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</si>
  <si>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</si>
  <si>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</si>
  <si>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</si>
  <si>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</si>
  <si>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</si>
  <si>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</si>
  <si>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</si>
  <si>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</si>
  <si>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</si>
  <si>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</si>
  <si>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</si>
  <si>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</si>
  <si>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</si>
  <si>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</si>
  <si>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</si>
  <si>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</si>
  <si>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</si>
  <si>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</si>
  <si>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</si>
  <si>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</si>
  <si>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</si>
  <si>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</si>
  <si>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</si>
  <si>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</si>
  <si>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</si>
  <si>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</si>
  <si>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</si>
  <si>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</si>
  <si>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</si>
  <si>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</si>
  <si>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</si>
  <si>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</si>
  <si>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</si>
  <si>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</si>
  <si>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</si>
  <si>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</si>
  <si>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</si>
  <si>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</si>
  <si>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</si>
  <si>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</si>
  <si>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</si>
  <si>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</si>
  <si>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</si>
  <si>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</si>
  <si>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</si>
  <si>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</si>
  <si>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</si>
  <si>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</si>
  <si>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</si>
  <si>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</si>
  <si>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</si>
  <si>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</si>
  <si>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</si>
  <si>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</si>
  <si>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</si>
  <si>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</si>
  <si>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</si>
  <si>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</si>
  <si>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</si>
  <si>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</si>
  <si>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</si>
  <si>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</si>
  <si>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</si>
  <si>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</si>
  <si>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</si>
  <si>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</si>
  <si>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</si>
  <si>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</si>
  <si>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</si>
  <si>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</si>
  <si>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</si>
  <si>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</si>
  <si>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</si>
  <si>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</si>
  <si>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</si>
  <si>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</si>
  <si>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</si>
  <si>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</si>
  <si>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</si>
  <si>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</si>
  <si>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</si>
  <si>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</si>
  <si>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</si>
  <si>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</si>
  <si>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Laconia School District SAU #30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</si>
</sst>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44" activePane="bottomRight" state="frozen"/>
      <selection pane="topRight" activeCell="F1" sqref="F1"/>
      <selection pane="bottomLeft" activeCell="A4" sqref="A4"/>
      <selection pane="bottomRight" activeCell="I670" sqref="I67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285</v>
      </c>
      <c r="C2" s="21">
        <v>285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962.34</v>
      </c>
      <c r="G9" s="18">
        <v>400</v>
      </c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>
        <v>739475.18</v>
      </c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767422.38</v>
      </c>
      <c r="G12" s="18"/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165959.67000000001</v>
      </c>
      <c r="G13" s="18">
        <v>50065.96</v>
      </c>
      <c r="H13" s="18">
        <v>1001857.79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18269.419999999998</v>
      </c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>
        <v>24965</v>
      </c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16786.5</v>
      </c>
      <c r="G17" s="18"/>
      <c r="H17" s="18">
        <v>5920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>
        <v>10000</v>
      </c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1718875.4899999998</v>
      </c>
      <c r="G19" s="41">
        <f>SUM(G9:G18)</f>
        <v>75430.959999999992</v>
      </c>
      <c r="H19" s="41">
        <f>SUM(H9:H18)</f>
        <v>1007777.79</v>
      </c>
      <c r="I19" s="41">
        <f>SUM(I9:I18)</f>
        <v>0</v>
      </c>
      <c r="J19" s="41">
        <f>SUM(J9:J18)</f>
        <v>0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>
        <v>65973.509999999995</v>
      </c>
      <c r="H22" s="18">
        <v>855899.93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1391237.73</v>
      </c>
      <c r="G24" s="18">
        <v>8692.56</v>
      </c>
      <c r="H24" s="18">
        <v>53107.68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33305.08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>
        <v>100</v>
      </c>
      <c r="G30" s="18"/>
      <c r="H30" s="18">
        <v>98770.18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294232.68</v>
      </c>
      <c r="G31" s="18">
        <f>764.89</f>
        <v>764.89</v>
      </c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1718875.49</v>
      </c>
      <c r="G32" s="41">
        <f>SUM(G22:G31)</f>
        <v>75430.959999999992</v>
      </c>
      <c r="H32" s="41">
        <f>SUM(H22:H31)</f>
        <v>1007777.79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/>
      <c r="H48" s="18"/>
      <c r="I48" s="18"/>
      <c r="J48" s="13">
        <f>SUM(I459)</f>
        <v>0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/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0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0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1718875.49</v>
      </c>
      <c r="G52" s="41">
        <f>G51+G32</f>
        <v>75430.959999999992</v>
      </c>
      <c r="H52" s="41">
        <f>H51+H32</f>
        <v>1007777.79</v>
      </c>
      <c r="I52" s="41">
        <f>I51+I32</f>
        <v>0</v>
      </c>
      <c r="J52" s="41">
        <f>J51+J32</f>
        <v>0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18359179.940000001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18359179.940000001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>
        <v>135279.28</v>
      </c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1925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>
        <v>89520.57</v>
      </c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27448.880000000001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345472.49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>
        <v>59057.56</v>
      </c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523424.5</v>
      </c>
      <c r="G79" s="45" t="s">
        <v>289</v>
      </c>
      <c r="H79" s="41">
        <f>SUM(H63:H78)</f>
        <v>135279.28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359468.52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5312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1441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26496.48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339.96</v>
      </c>
      <c r="G110" s="18"/>
      <c r="H110" s="18">
        <v>166928.22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7092.96</v>
      </c>
      <c r="G111" s="41">
        <f>SUM(G96:G110)</f>
        <v>359468.52</v>
      </c>
      <c r="H111" s="41">
        <f>SUM(H96:H110)</f>
        <v>193424.7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18889697.400000002</v>
      </c>
      <c r="G112" s="41">
        <f>G60+G111</f>
        <v>359468.52</v>
      </c>
      <c r="H112" s="41">
        <f>H60+H79+H94+H111</f>
        <v>328703.98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6507615.6299999999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4402329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>
        <v>51348.13</v>
      </c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10909944.629999999</v>
      </c>
      <c r="G121" s="41">
        <f>SUM(G117:G120)</f>
        <v>51348.13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766480.04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85445.72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1186347.8400000001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16103.08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>
        <v>34287.58</v>
      </c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2038273.6</v>
      </c>
      <c r="G136" s="41">
        <f>SUM(G123:G135)</f>
        <v>16103.08</v>
      </c>
      <c r="H136" s="41">
        <f>SUM(H123:H135)</f>
        <v>34287.58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12948218.229999999</v>
      </c>
      <c r="G140" s="41">
        <f>G121+SUM(G136:G137)</f>
        <v>67451.209999999992</v>
      </c>
      <c r="H140" s="41">
        <f>H121+SUM(H136:H139)</f>
        <v>34287.58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>
        <v>261098.59</v>
      </c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>
        <v>49538.57</v>
      </c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1165024.95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1751290.73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186854.04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>
        <v>285527.49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772598.87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612545.97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>
        <v>154397.21</v>
      </c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612545.97</v>
      </c>
      <c r="G162" s="41">
        <f>SUM(G150:G161)</f>
        <v>772598.87</v>
      </c>
      <c r="H162" s="41">
        <f>SUM(H150:H161)</f>
        <v>3853731.58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612545.97</v>
      </c>
      <c r="G169" s="41">
        <f>G147+G162+SUM(G163:G168)</f>
        <v>772598.87</v>
      </c>
      <c r="H169" s="41">
        <f>H147+H162+SUM(H163:H168)</f>
        <v>3853731.58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/>
      <c r="H179" s="18">
        <v>200000</v>
      </c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200000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>
        <v>230000</v>
      </c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230000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230000</v>
      </c>
      <c r="G192" s="41">
        <f>G183+SUM(G188:G191)</f>
        <v>0</v>
      </c>
      <c r="H192" s="41">
        <f>+H183+SUM(H188:H191)</f>
        <v>200000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32680461.600000001</v>
      </c>
      <c r="G193" s="47">
        <f>G112+G140+G169+G192</f>
        <v>1199518.6000000001</v>
      </c>
      <c r="H193" s="47">
        <f>H112+H140+H169+H192</f>
        <v>4416723.1399999997</v>
      </c>
      <c r="I193" s="47">
        <f>I112+I140+I169+I192</f>
        <v>0</v>
      </c>
      <c r="J193" s="47">
        <f>J112+J140+J192</f>
        <v>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2839984.09</v>
      </c>
      <c r="G197" s="18">
        <v>1534396.6</v>
      </c>
      <c r="H197" s="18">
        <v>49058.67</v>
      </c>
      <c r="I197" s="18">
        <v>113790.51</v>
      </c>
      <c r="J197" s="18">
        <v>6843.4</v>
      </c>
      <c r="K197" s="18"/>
      <c r="L197" s="19">
        <f>SUM(F197:K197)</f>
        <v>4544073.2699999996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1585027.23</v>
      </c>
      <c r="G198" s="18">
        <v>858447.32</v>
      </c>
      <c r="H198" s="18">
        <v>1104371.77</v>
      </c>
      <c r="I198" s="18">
        <v>2911.39</v>
      </c>
      <c r="J198" s="18">
        <v>249.99</v>
      </c>
      <c r="K198" s="18">
        <v>530</v>
      </c>
      <c r="L198" s="19">
        <f>SUM(F198:K198)</f>
        <v>3551537.7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8436.2800000000007</v>
      </c>
      <c r="G200" s="18">
        <v>4290.88</v>
      </c>
      <c r="H200" s="18"/>
      <c r="I200" s="18">
        <v>278.72000000000003</v>
      </c>
      <c r="J200" s="18"/>
      <c r="K200" s="18"/>
      <c r="L200" s="19">
        <f>SUM(F200:K200)</f>
        <v>13005.88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512487.54</v>
      </c>
      <c r="G202" s="18">
        <v>277186.84999999998</v>
      </c>
      <c r="H202" s="18">
        <v>103289.60000000001</v>
      </c>
      <c r="I202" s="18">
        <v>4304.29</v>
      </c>
      <c r="J202" s="18"/>
      <c r="K202" s="18"/>
      <c r="L202" s="19">
        <f t="shared" ref="L202:L208" si="0">SUM(F202:K202)</f>
        <v>897268.27999999991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228117.89</v>
      </c>
      <c r="G203" s="18">
        <v>161342.07</v>
      </c>
      <c r="H203" s="18">
        <v>50523.37</v>
      </c>
      <c r="I203" s="18">
        <v>26121.8</v>
      </c>
      <c r="J203" s="18">
        <v>20284.57</v>
      </c>
      <c r="K203" s="18"/>
      <c r="L203" s="19">
        <f t="shared" si="0"/>
        <v>486389.7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244473.47</v>
      </c>
      <c r="G204" s="18">
        <v>130252.25</v>
      </c>
      <c r="H204" s="18">
        <v>84444.37</v>
      </c>
      <c r="I204" s="18">
        <v>4667.21</v>
      </c>
      <c r="J204" s="18"/>
      <c r="K204" s="18">
        <v>19437.34</v>
      </c>
      <c r="L204" s="19">
        <f t="shared" si="0"/>
        <v>483274.64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531378.80000000005</v>
      </c>
      <c r="G205" s="18">
        <v>293484.82</v>
      </c>
      <c r="H205" s="18">
        <v>21309.68</v>
      </c>
      <c r="I205" s="18">
        <v>3295.18</v>
      </c>
      <c r="J205" s="18"/>
      <c r="K205" s="18">
        <v>1149</v>
      </c>
      <c r="L205" s="19">
        <f t="shared" si="0"/>
        <v>850617.48000000021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123229.67</v>
      </c>
      <c r="G206" s="18">
        <v>65382.28</v>
      </c>
      <c r="H206" s="18">
        <v>64550.87</v>
      </c>
      <c r="I206" s="18">
        <v>575.72</v>
      </c>
      <c r="J206" s="18"/>
      <c r="K206" s="18"/>
      <c r="L206" s="19">
        <f t="shared" si="0"/>
        <v>253738.54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303129.90000000002</v>
      </c>
      <c r="G207" s="18">
        <v>163909.24</v>
      </c>
      <c r="H207" s="18">
        <v>147716.24</v>
      </c>
      <c r="I207" s="18">
        <v>273575.73</v>
      </c>
      <c r="J207" s="18">
        <v>13108.69</v>
      </c>
      <c r="K207" s="18"/>
      <c r="L207" s="19">
        <f t="shared" si="0"/>
        <v>901439.79999999993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366330.25</v>
      </c>
      <c r="I208" s="18"/>
      <c r="J208" s="18"/>
      <c r="K208" s="18"/>
      <c r="L208" s="19">
        <f t="shared" si="0"/>
        <v>366330.25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6376264.8700000001</v>
      </c>
      <c r="G211" s="41">
        <f t="shared" si="1"/>
        <v>3488692.3099999996</v>
      </c>
      <c r="H211" s="41">
        <f t="shared" si="1"/>
        <v>1991594.8200000003</v>
      </c>
      <c r="I211" s="41">
        <f t="shared" si="1"/>
        <v>429520.54999999993</v>
      </c>
      <c r="J211" s="41">
        <f t="shared" si="1"/>
        <v>40486.65</v>
      </c>
      <c r="K211" s="41">
        <f t="shared" si="1"/>
        <v>21116.34</v>
      </c>
      <c r="L211" s="41">
        <f t="shared" si="1"/>
        <v>12347675.539999999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2100299.94</v>
      </c>
      <c r="G215" s="18">
        <v>1136208.6499999999</v>
      </c>
      <c r="H215" s="18">
        <v>32014.55</v>
      </c>
      <c r="I215" s="18">
        <v>41643.65</v>
      </c>
      <c r="J215" s="18">
        <v>19731.04</v>
      </c>
      <c r="K215" s="18"/>
      <c r="L215" s="19">
        <f>SUM(F215:K215)</f>
        <v>3329897.8299999996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694181.71</v>
      </c>
      <c r="G216" s="18">
        <v>375875.68</v>
      </c>
      <c r="H216" s="18">
        <v>222414.79</v>
      </c>
      <c r="I216" s="18">
        <v>3289.57</v>
      </c>
      <c r="J216" s="18">
        <v>59.85</v>
      </c>
      <c r="K216" s="18">
        <v>680</v>
      </c>
      <c r="L216" s="19">
        <f>SUM(F216:K216)</f>
        <v>1296501.6000000001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50108.36</v>
      </c>
      <c r="G218" s="18">
        <v>27461.23</v>
      </c>
      <c r="H218" s="18">
        <v>9757</v>
      </c>
      <c r="I218" s="18">
        <v>6622.56</v>
      </c>
      <c r="J218" s="18"/>
      <c r="K218" s="18"/>
      <c r="L218" s="19">
        <f>SUM(F218:K218)</f>
        <v>93949.15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193780.6</v>
      </c>
      <c r="G220" s="18">
        <v>104695.95</v>
      </c>
      <c r="H220" s="18">
        <v>39641.85</v>
      </c>
      <c r="I220" s="18">
        <v>1761.6</v>
      </c>
      <c r="J220" s="18"/>
      <c r="K220" s="18"/>
      <c r="L220" s="19">
        <f t="shared" ref="L220:L226" si="2">SUM(F220:K220)</f>
        <v>339879.99999999994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113564.72</v>
      </c>
      <c r="G221" s="18">
        <v>78398.78</v>
      </c>
      <c r="H221" s="18">
        <v>22579.8</v>
      </c>
      <c r="I221" s="18">
        <v>26627.75</v>
      </c>
      <c r="J221" s="18">
        <v>34404.480000000003</v>
      </c>
      <c r="K221" s="18"/>
      <c r="L221" s="19">
        <f t="shared" si="2"/>
        <v>275575.52999999997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129622.63</v>
      </c>
      <c r="G222" s="18">
        <v>71351.839999999997</v>
      </c>
      <c r="H222" s="18">
        <v>35702.31</v>
      </c>
      <c r="I222" s="18">
        <v>1921.79</v>
      </c>
      <c r="J222" s="18"/>
      <c r="K222" s="18">
        <v>8003.61</v>
      </c>
      <c r="L222" s="19">
        <f t="shared" si="2"/>
        <v>246602.18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276466.84999999998</v>
      </c>
      <c r="G223" s="18">
        <v>153320.46</v>
      </c>
      <c r="H223" s="18">
        <v>18806.689999999999</v>
      </c>
      <c r="I223" s="18">
        <v>906.25</v>
      </c>
      <c r="J223" s="18"/>
      <c r="K223" s="18">
        <v>1576.14</v>
      </c>
      <c r="L223" s="19">
        <f t="shared" si="2"/>
        <v>451076.38999999996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50741.63</v>
      </c>
      <c r="G224" s="18">
        <v>27881.23</v>
      </c>
      <c r="H224" s="18">
        <v>26579.77</v>
      </c>
      <c r="I224" s="18">
        <v>237.06</v>
      </c>
      <c r="J224" s="18"/>
      <c r="K224" s="18"/>
      <c r="L224" s="19">
        <f t="shared" si="2"/>
        <v>105439.69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193821.57</v>
      </c>
      <c r="G225" s="18">
        <v>104695.95</v>
      </c>
      <c r="H225" s="18">
        <v>87685.83</v>
      </c>
      <c r="I225" s="18">
        <v>216686.62</v>
      </c>
      <c r="J225" s="18">
        <v>4689.4399999999996</v>
      </c>
      <c r="K225" s="18"/>
      <c r="L225" s="19">
        <f t="shared" si="2"/>
        <v>607579.40999999992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156440.37</v>
      </c>
      <c r="I226" s="18"/>
      <c r="J226" s="18"/>
      <c r="K226" s="18"/>
      <c r="L226" s="19">
        <f t="shared" si="2"/>
        <v>156440.37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3802588.01</v>
      </c>
      <c r="G229" s="41">
        <f>SUM(G215:G228)</f>
        <v>2079889.7699999998</v>
      </c>
      <c r="H229" s="41">
        <f>SUM(H215:H228)</f>
        <v>651622.96</v>
      </c>
      <c r="I229" s="41">
        <f>SUM(I215:I228)</f>
        <v>299696.84999999998</v>
      </c>
      <c r="J229" s="41">
        <f>SUM(J215:J228)</f>
        <v>58884.810000000005</v>
      </c>
      <c r="K229" s="41">
        <f t="shared" si="3"/>
        <v>10259.75</v>
      </c>
      <c r="L229" s="41">
        <f t="shared" si="3"/>
        <v>6902942.1500000004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2290614.31</v>
      </c>
      <c r="G233" s="18">
        <v>1239188.29</v>
      </c>
      <c r="H233" s="18">
        <v>54690.57</v>
      </c>
      <c r="I233" s="18">
        <v>95660.43</v>
      </c>
      <c r="J233" s="18">
        <v>26193.8</v>
      </c>
      <c r="K233" s="18"/>
      <c r="L233" s="19">
        <f>SUM(F233:K233)</f>
        <v>3706347.4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813472.35</v>
      </c>
      <c r="G234" s="18">
        <v>443096.11</v>
      </c>
      <c r="H234" s="18">
        <v>511930.27</v>
      </c>
      <c r="I234" s="18">
        <v>2108.79</v>
      </c>
      <c r="J234" s="18"/>
      <c r="K234" s="18">
        <v>530</v>
      </c>
      <c r="L234" s="19">
        <f>SUM(F234:K234)</f>
        <v>1771137.52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996225.65</v>
      </c>
      <c r="G235" s="18">
        <v>540831.78</v>
      </c>
      <c r="H235" s="18">
        <v>19011.7</v>
      </c>
      <c r="I235" s="18">
        <v>47683.14</v>
      </c>
      <c r="J235" s="18">
        <v>1525.39</v>
      </c>
      <c r="K235" s="18">
        <v>69</v>
      </c>
      <c r="L235" s="19">
        <f>SUM(F235:K235)</f>
        <v>1605346.66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168623.68</v>
      </c>
      <c r="G236" s="18">
        <v>91823.51</v>
      </c>
      <c r="H236" s="18">
        <v>63564.49</v>
      </c>
      <c r="I236" s="18">
        <v>8869.41</v>
      </c>
      <c r="J236" s="18"/>
      <c r="K236" s="18"/>
      <c r="L236" s="19">
        <f>SUM(F236:K236)</f>
        <v>332881.08999999997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200211.71</v>
      </c>
      <c r="G238" s="18">
        <v>108128.61</v>
      </c>
      <c r="H238" s="18">
        <v>42273.95</v>
      </c>
      <c r="I238" s="18">
        <v>1787.76</v>
      </c>
      <c r="J238" s="18"/>
      <c r="K238" s="18">
        <v>120</v>
      </c>
      <c r="L238" s="19">
        <f t="shared" ref="L238:L244" si="4">SUM(F238:K238)</f>
        <v>352522.03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127990.85</v>
      </c>
      <c r="G239" s="18">
        <v>94233.75</v>
      </c>
      <c r="H239" s="18">
        <v>29436.17</v>
      </c>
      <c r="I239" s="18">
        <v>36856.269999999997</v>
      </c>
      <c r="J239" s="18">
        <v>29127.279999999999</v>
      </c>
      <c r="K239" s="18"/>
      <c r="L239" s="19">
        <f t="shared" si="4"/>
        <v>317644.32000000007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234071.16</v>
      </c>
      <c r="G240" s="18">
        <v>131750.75</v>
      </c>
      <c r="H240" s="18">
        <v>45578.6</v>
      </c>
      <c r="I240" s="18">
        <v>2562.39</v>
      </c>
      <c r="J240" s="18"/>
      <c r="K240" s="18">
        <v>10671.49</v>
      </c>
      <c r="L240" s="19">
        <f t="shared" si="4"/>
        <v>424634.39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342587.96</v>
      </c>
      <c r="G241" s="18">
        <v>187363.34</v>
      </c>
      <c r="H241" s="18">
        <v>20504.45</v>
      </c>
      <c r="I241" s="18">
        <v>1560.06</v>
      </c>
      <c r="J241" s="18"/>
      <c r="K241" s="18">
        <v>2285</v>
      </c>
      <c r="L241" s="19">
        <f t="shared" si="4"/>
        <v>554300.81000000006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67655.509999999995</v>
      </c>
      <c r="G242" s="18">
        <v>40035.519999999997</v>
      </c>
      <c r="H242" s="18">
        <v>35439.699999999997</v>
      </c>
      <c r="I242" s="18">
        <v>316.08</v>
      </c>
      <c r="J242" s="18"/>
      <c r="K242" s="18"/>
      <c r="L242" s="19">
        <f t="shared" si="4"/>
        <v>143446.80999999997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271628.81</v>
      </c>
      <c r="G243" s="18">
        <v>146745.99</v>
      </c>
      <c r="H243" s="18">
        <v>221628.03</v>
      </c>
      <c r="I243" s="18">
        <v>268209.93</v>
      </c>
      <c r="J243" s="18">
        <v>2730.7</v>
      </c>
      <c r="K243" s="18"/>
      <c r="L243" s="19">
        <f t="shared" si="4"/>
        <v>910943.46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245899.95</v>
      </c>
      <c r="I244" s="18"/>
      <c r="J244" s="18"/>
      <c r="K244" s="18"/>
      <c r="L244" s="19">
        <f t="shared" si="4"/>
        <v>245899.95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5513081.9899999993</v>
      </c>
      <c r="G247" s="41">
        <f t="shared" si="5"/>
        <v>3023197.6499999994</v>
      </c>
      <c r="H247" s="41">
        <f t="shared" si="5"/>
        <v>1289957.8799999999</v>
      </c>
      <c r="I247" s="41">
        <f t="shared" si="5"/>
        <v>465614.26</v>
      </c>
      <c r="J247" s="41">
        <f t="shared" si="5"/>
        <v>59577.17</v>
      </c>
      <c r="K247" s="41">
        <f t="shared" si="5"/>
        <v>13675.49</v>
      </c>
      <c r="L247" s="41">
        <f t="shared" si="5"/>
        <v>10365104.440000001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>
        <v>172276.64</v>
      </c>
      <c r="G251" s="18">
        <v>95539.85</v>
      </c>
      <c r="H251" s="18">
        <v>4418.9799999999996</v>
      </c>
      <c r="I251" s="18">
        <v>8971.1200000000008</v>
      </c>
      <c r="J251" s="18"/>
      <c r="K251" s="18">
        <v>2715</v>
      </c>
      <c r="L251" s="19">
        <f t="shared" si="6"/>
        <v>283921.58999999997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172276.64</v>
      </c>
      <c r="G256" s="41">
        <f t="shared" si="7"/>
        <v>95539.85</v>
      </c>
      <c r="H256" s="41">
        <f t="shared" si="7"/>
        <v>4418.9799999999996</v>
      </c>
      <c r="I256" s="41">
        <f t="shared" si="7"/>
        <v>8971.1200000000008</v>
      </c>
      <c r="J256" s="41">
        <f t="shared" si="7"/>
        <v>0</v>
      </c>
      <c r="K256" s="41">
        <f t="shared" si="7"/>
        <v>2715</v>
      </c>
      <c r="L256" s="41">
        <f>SUM(F256:K256)</f>
        <v>283921.58999999997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15864211.509999998</v>
      </c>
      <c r="G257" s="41">
        <f t="shared" si="8"/>
        <v>8687319.5799999982</v>
      </c>
      <c r="H257" s="41">
        <f t="shared" si="8"/>
        <v>3937594.64</v>
      </c>
      <c r="I257" s="41">
        <f t="shared" si="8"/>
        <v>1203802.78</v>
      </c>
      <c r="J257" s="41">
        <f t="shared" si="8"/>
        <v>158948.63</v>
      </c>
      <c r="K257" s="41">
        <f t="shared" si="8"/>
        <v>47766.58</v>
      </c>
      <c r="L257" s="41">
        <f t="shared" si="8"/>
        <v>29899643.719999999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1917550.45</v>
      </c>
      <c r="L260" s="19">
        <f>SUM(F260:K260)</f>
        <v>1917550.45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663267.43000000005</v>
      </c>
      <c r="L261" s="19">
        <f>SUM(F261:K261)</f>
        <v>663267.43000000005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>SUM(F263:K263)</f>
        <v>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>
        <v>200000</v>
      </c>
      <c r="L264" s="19">
        <f t="shared" ref="L264:L270" si="9">SUM(F264:K264)</f>
        <v>200000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2780817.88</v>
      </c>
      <c r="L270" s="41">
        <f t="shared" si="9"/>
        <v>2780817.88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15864211.509999998</v>
      </c>
      <c r="G271" s="42">
        <f t="shared" si="11"/>
        <v>8687319.5799999982</v>
      </c>
      <c r="H271" s="42">
        <f t="shared" si="11"/>
        <v>3937594.64</v>
      </c>
      <c r="I271" s="42">
        <f t="shared" si="11"/>
        <v>1203802.78</v>
      </c>
      <c r="J271" s="42">
        <f t="shared" si="11"/>
        <v>158948.63</v>
      </c>
      <c r="K271" s="42">
        <f t="shared" si="11"/>
        <v>2828584.46</v>
      </c>
      <c r="L271" s="42">
        <f t="shared" si="11"/>
        <v>32680461.599999998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652911.34</v>
      </c>
      <c r="G276" s="18">
        <f>146747.36-0.06</f>
        <v>146747.29999999999</v>
      </c>
      <c r="H276" s="18">
        <v>76000</v>
      </c>
      <c r="I276" s="18">
        <v>45342.63</v>
      </c>
      <c r="J276" s="18">
        <v>21253.71</v>
      </c>
      <c r="K276" s="18"/>
      <c r="L276" s="19">
        <f>SUM(F276:K276)</f>
        <v>942254.97999999986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208834.78</v>
      </c>
      <c r="G277" s="18">
        <v>93225.57</v>
      </c>
      <c r="H277" s="18">
        <v>5553.3</v>
      </c>
      <c r="I277" s="18"/>
      <c r="J277" s="18">
        <v>4379.96</v>
      </c>
      <c r="K277" s="18"/>
      <c r="L277" s="19">
        <f>SUM(F277:K277)</f>
        <v>311993.61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80258.05</v>
      </c>
      <c r="G281" s="18">
        <v>15619.5</v>
      </c>
      <c r="H281" s="18">
        <v>58269.3</v>
      </c>
      <c r="I281" s="18">
        <v>1207.5999999999999</v>
      </c>
      <c r="J281" s="18"/>
      <c r="K281" s="18">
        <v>1142.99</v>
      </c>
      <c r="L281" s="19">
        <f t="shared" ref="L281:L287" si="12">SUM(F281:K281)</f>
        <v>156497.44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250776.9</v>
      </c>
      <c r="G282" s="18">
        <v>33987.19</v>
      </c>
      <c r="H282" s="18">
        <v>171935.26</v>
      </c>
      <c r="I282" s="18">
        <v>4837.26</v>
      </c>
      <c r="J282" s="18">
        <v>3623.35</v>
      </c>
      <c r="K282" s="18"/>
      <c r="L282" s="19">
        <f t="shared" si="12"/>
        <v>465159.95999999996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85748.83</v>
      </c>
      <c r="G283" s="18">
        <v>36800.36</v>
      </c>
      <c r="H283" s="18">
        <v>124351.49</v>
      </c>
      <c r="I283" s="18">
        <v>41741.94</v>
      </c>
      <c r="J283" s="18"/>
      <c r="K283" s="18">
        <v>483.02</v>
      </c>
      <c r="L283" s="19">
        <f t="shared" si="12"/>
        <v>289125.64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>
        <v>3200</v>
      </c>
      <c r="I288" s="18"/>
      <c r="J288" s="18"/>
      <c r="K288" s="18"/>
      <c r="L288" s="19">
        <f>SUM(F288:K288)</f>
        <v>3200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1278529.9000000001</v>
      </c>
      <c r="G290" s="42">
        <f t="shared" si="13"/>
        <v>326379.92</v>
      </c>
      <c r="H290" s="42">
        <f t="shared" si="13"/>
        <v>439309.35</v>
      </c>
      <c r="I290" s="42">
        <f t="shared" si="13"/>
        <v>93129.43</v>
      </c>
      <c r="J290" s="42">
        <f t="shared" si="13"/>
        <v>29257.019999999997</v>
      </c>
      <c r="K290" s="42">
        <f t="shared" si="13"/>
        <v>1626.01</v>
      </c>
      <c r="L290" s="41">
        <f t="shared" si="13"/>
        <v>2168231.63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31772.55</v>
      </c>
      <c r="G295" s="18">
        <v>56799.12</v>
      </c>
      <c r="H295" s="18"/>
      <c r="I295" s="18">
        <v>10241.08</v>
      </c>
      <c r="J295" s="18">
        <v>7083.89</v>
      </c>
      <c r="K295" s="18"/>
      <c r="L295" s="19">
        <f>SUM(F295:K295)</f>
        <v>105896.64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75626.25</v>
      </c>
      <c r="G296" s="18">
        <v>38196.69</v>
      </c>
      <c r="H296" s="18">
        <v>2286.65</v>
      </c>
      <c r="I296" s="18"/>
      <c r="J296" s="18">
        <v>1801.5</v>
      </c>
      <c r="K296" s="18"/>
      <c r="L296" s="19">
        <f>SUM(F296:K296)</f>
        <v>117911.09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32195.119999999999</v>
      </c>
      <c r="G300" s="18">
        <v>6431.57</v>
      </c>
      <c r="H300" s="18">
        <v>23993.24</v>
      </c>
      <c r="I300" s="18"/>
      <c r="J300" s="18"/>
      <c r="K300" s="18">
        <v>470.64</v>
      </c>
      <c r="L300" s="19">
        <f t="shared" ref="L300:L306" si="14">SUM(F300:K300)</f>
        <v>63090.570000000007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102543.47</v>
      </c>
      <c r="G301" s="18">
        <v>13994.74</v>
      </c>
      <c r="H301" s="18">
        <v>53688.09</v>
      </c>
      <c r="I301" s="18">
        <v>1597.08</v>
      </c>
      <c r="J301" s="18">
        <v>423.46</v>
      </c>
      <c r="K301" s="18"/>
      <c r="L301" s="19">
        <f t="shared" si="14"/>
        <v>172246.83999999997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35308.33</v>
      </c>
      <c r="G302" s="18">
        <v>15153.08</v>
      </c>
      <c r="H302" s="18">
        <v>51203.55</v>
      </c>
      <c r="I302" s="18">
        <v>17187.849999999999</v>
      </c>
      <c r="J302" s="18"/>
      <c r="K302" s="18">
        <v>198.9</v>
      </c>
      <c r="L302" s="19">
        <f t="shared" si="14"/>
        <v>119051.70999999999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277445.72000000003</v>
      </c>
      <c r="G309" s="42">
        <f t="shared" si="15"/>
        <v>130575.20000000001</v>
      </c>
      <c r="H309" s="42">
        <f t="shared" si="15"/>
        <v>131171.53</v>
      </c>
      <c r="I309" s="42">
        <f t="shared" si="15"/>
        <v>29026.01</v>
      </c>
      <c r="J309" s="42">
        <f t="shared" si="15"/>
        <v>9308.8499999999985</v>
      </c>
      <c r="K309" s="42">
        <f t="shared" si="15"/>
        <v>669.54</v>
      </c>
      <c r="L309" s="41">
        <f t="shared" si="15"/>
        <v>578196.85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139481.49</v>
      </c>
      <c r="G314" s="18">
        <v>129521.11</v>
      </c>
      <c r="H314" s="18">
        <v>14215.04</v>
      </c>
      <c r="I314" s="18">
        <v>16032.13</v>
      </c>
      <c r="J314" s="18">
        <v>9445.18</v>
      </c>
      <c r="K314" s="18"/>
      <c r="L314" s="19">
        <f>SUM(F314:K314)</f>
        <v>308694.94999999995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100835</v>
      </c>
      <c r="G315" s="18">
        <v>50928.92</v>
      </c>
      <c r="H315" s="18">
        <v>3048.87</v>
      </c>
      <c r="I315" s="18"/>
      <c r="J315" s="18">
        <v>2397.14</v>
      </c>
      <c r="K315" s="18"/>
      <c r="L315" s="19">
        <f>SUM(F315:K315)</f>
        <v>157209.93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79154.28</v>
      </c>
      <c r="G316" s="18">
        <v>14283.32</v>
      </c>
      <c r="H316" s="18">
        <v>69141.820000000007</v>
      </c>
      <c r="I316" s="18">
        <v>25856.13</v>
      </c>
      <c r="J316" s="18">
        <v>46218.78</v>
      </c>
      <c r="K316" s="18">
        <v>8031</v>
      </c>
      <c r="L316" s="19">
        <f>SUM(F316:K316)</f>
        <v>242685.33000000002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42926.84</v>
      </c>
      <c r="G319" s="18">
        <v>8575.41</v>
      </c>
      <c r="H319" s="18">
        <v>32146.02</v>
      </c>
      <c r="I319" s="18">
        <v>109.18</v>
      </c>
      <c r="J319" s="18"/>
      <c r="K319" s="18">
        <v>627.52</v>
      </c>
      <c r="L319" s="19">
        <f t="shared" ref="L319:L325" si="16">SUM(F319:K319)</f>
        <v>84384.97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141064.85999999999</v>
      </c>
      <c r="G320" s="18">
        <v>18659.63</v>
      </c>
      <c r="H320" s="18">
        <v>72972.38</v>
      </c>
      <c r="I320" s="18">
        <v>2110.1999999999998</v>
      </c>
      <c r="J320" s="18">
        <v>1566.51</v>
      </c>
      <c r="K320" s="18"/>
      <c r="L320" s="19">
        <f t="shared" si="16"/>
        <v>236373.58000000002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>
        <v>47077.79</v>
      </c>
      <c r="G321" s="18">
        <v>20204.12</v>
      </c>
      <c r="H321" s="18">
        <v>68271.41</v>
      </c>
      <c r="I321" s="18">
        <v>22917.14</v>
      </c>
      <c r="J321" s="18"/>
      <c r="K321" s="18">
        <v>265.18</v>
      </c>
      <c r="L321" s="19">
        <f t="shared" si="16"/>
        <v>158735.64000000001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4237.76</v>
      </c>
      <c r="I324" s="18"/>
      <c r="J324" s="18"/>
      <c r="K324" s="18"/>
      <c r="L324" s="19">
        <f t="shared" si="16"/>
        <v>4237.76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385</v>
      </c>
      <c r="I325" s="18"/>
      <c r="J325" s="18"/>
      <c r="K325" s="18"/>
      <c r="L325" s="19">
        <f t="shared" si="16"/>
        <v>385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550540.26</v>
      </c>
      <c r="G328" s="42">
        <f t="shared" si="17"/>
        <v>242172.51</v>
      </c>
      <c r="H328" s="42">
        <f t="shared" si="17"/>
        <v>264418.3</v>
      </c>
      <c r="I328" s="42">
        <f t="shared" si="17"/>
        <v>67024.78</v>
      </c>
      <c r="J328" s="42">
        <f t="shared" si="17"/>
        <v>59627.61</v>
      </c>
      <c r="K328" s="42">
        <f t="shared" si="17"/>
        <v>8923.7000000000007</v>
      </c>
      <c r="L328" s="41">
        <f t="shared" si="17"/>
        <v>1192707.1599999999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>
        <v>2086.2399999999998</v>
      </c>
      <c r="I332" s="18"/>
      <c r="J332" s="18"/>
      <c r="K332" s="18"/>
      <c r="L332" s="19">
        <f t="shared" ref="L332:L337" si="18">SUM(F332:K332)</f>
        <v>2086.2399999999998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>
        <v>197251</v>
      </c>
      <c r="G333" s="18">
        <v>17437.68</v>
      </c>
      <c r="H333" s="18">
        <v>19679.75</v>
      </c>
      <c r="I333" s="18">
        <v>34864.06</v>
      </c>
      <c r="J333" s="18">
        <v>3500</v>
      </c>
      <c r="K333" s="18"/>
      <c r="L333" s="19">
        <f t="shared" si="18"/>
        <v>272732.49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197251</v>
      </c>
      <c r="G337" s="41">
        <f t="shared" si="19"/>
        <v>17437.68</v>
      </c>
      <c r="H337" s="41">
        <f t="shared" si="19"/>
        <v>21765.989999999998</v>
      </c>
      <c r="I337" s="41">
        <f t="shared" si="19"/>
        <v>34864.06</v>
      </c>
      <c r="J337" s="41">
        <f t="shared" si="19"/>
        <v>3500</v>
      </c>
      <c r="K337" s="41">
        <f t="shared" si="19"/>
        <v>0</v>
      </c>
      <c r="L337" s="41">
        <f t="shared" si="18"/>
        <v>274818.73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2303766.88</v>
      </c>
      <c r="G338" s="41">
        <f t="shared" si="20"/>
        <v>716565.31</v>
      </c>
      <c r="H338" s="41">
        <f t="shared" si="20"/>
        <v>856665.16999999993</v>
      </c>
      <c r="I338" s="41">
        <f t="shared" si="20"/>
        <v>224044.27999999997</v>
      </c>
      <c r="J338" s="41">
        <f t="shared" si="20"/>
        <v>101693.48</v>
      </c>
      <c r="K338" s="41">
        <f t="shared" si="20"/>
        <v>11219.25</v>
      </c>
      <c r="L338" s="41">
        <f t="shared" si="20"/>
        <v>4213954.3699999992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200000</v>
      </c>
      <c r="L344" s="19">
        <f t="shared" ref="L344:L350" si="21">SUM(F344:K344)</f>
        <v>200000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>
        <v>2768.77</v>
      </c>
      <c r="L350" s="19">
        <f t="shared" si="21"/>
        <v>2768.77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202768.77</v>
      </c>
      <c r="L351" s="41">
        <f>SUM(L341:L350)</f>
        <v>202768.77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2303766.88</v>
      </c>
      <c r="G352" s="41">
        <f>G338</f>
        <v>716565.31</v>
      </c>
      <c r="H352" s="41">
        <f>H338</f>
        <v>856665.16999999993</v>
      </c>
      <c r="I352" s="41">
        <f>I338</f>
        <v>224044.27999999997</v>
      </c>
      <c r="J352" s="41">
        <f>J338</f>
        <v>101693.48</v>
      </c>
      <c r="K352" s="47">
        <f>K338+K351</f>
        <v>213988.02</v>
      </c>
      <c r="L352" s="41">
        <f>L338+L351</f>
        <v>4416723.1399999987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228896.45</v>
      </c>
      <c r="G358" s="18">
        <v>55018.62</v>
      </c>
      <c r="H358" s="18">
        <v>17674.27</v>
      </c>
      <c r="I358" s="18">
        <v>294164.42</v>
      </c>
      <c r="J358" s="18">
        <v>2529.23</v>
      </c>
      <c r="K358" s="18"/>
      <c r="L358" s="13">
        <f>SUM(F358:K358)</f>
        <v>598282.99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136317.81</v>
      </c>
      <c r="G359" s="18">
        <v>32745.02</v>
      </c>
      <c r="H359" s="18">
        <v>4653.62</v>
      </c>
      <c r="I359" s="18">
        <v>138070.54999999999</v>
      </c>
      <c r="J359" s="18">
        <v>837.92</v>
      </c>
      <c r="K359" s="18"/>
      <c r="L359" s="19">
        <f>SUM(F359:K359)</f>
        <v>312624.92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108955.28</v>
      </c>
      <c r="G360" s="18">
        <v>28949.64</v>
      </c>
      <c r="H360" s="18">
        <v>4856.3999999999996</v>
      </c>
      <c r="I360" s="18">
        <v>166383.19</v>
      </c>
      <c r="J360" s="18">
        <v>1225.1199999999999</v>
      </c>
      <c r="K360" s="18"/>
      <c r="L360" s="19">
        <f>SUM(F360:K360)</f>
        <v>310369.63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474169.54000000004</v>
      </c>
      <c r="G362" s="47">
        <f t="shared" si="22"/>
        <v>116713.28</v>
      </c>
      <c r="H362" s="47">
        <f t="shared" si="22"/>
        <v>27184.29</v>
      </c>
      <c r="I362" s="47">
        <f t="shared" si="22"/>
        <v>598618.15999999992</v>
      </c>
      <c r="J362" s="47">
        <f t="shared" si="22"/>
        <v>4592.2700000000004</v>
      </c>
      <c r="K362" s="47">
        <f t="shared" si="22"/>
        <v>0</v>
      </c>
      <c r="L362" s="47">
        <f t="shared" si="22"/>
        <v>1221277.54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f>145286.86+59962.08+66772.24</f>
        <v>272021.18</v>
      </c>
      <c r="G367" s="18">
        <v>123279.18</v>
      </c>
      <c r="H367" s="18">
        <v>151606.04999999999</v>
      </c>
      <c r="I367" s="56">
        <f>SUM(F367:H367)</f>
        <v>546906.40999999992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f>10335.02+145+4642.24+145+6730.98+145</f>
        <v>22143.239999999998</v>
      </c>
      <c r="G368" s="63">
        <f>14646.37+145</f>
        <v>14791.37</v>
      </c>
      <c r="H368" s="63">
        <f>14632.14+145</f>
        <v>14777.14</v>
      </c>
      <c r="I368" s="56">
        <f>SUM(F368:H368)</f>
        <v>51711.75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294164.42</v>
      </c>
      <c r="G369" s="47">
        <f>SUM(G367:G368)</f>
        <v>138070.54999999999</v>
      </c>
      <c r="H369" s="47">
        <f>SUM(H367:H368)</f>
        <v>166383.19</v>
      </c>
      <c r="I369" s="47">
        <f>SUM(I367:I368)</f>
        <v>598618.15999999992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0</v>
      </c>
      <c r="H446" s="13">
        <f>SUM(H439:H445)</f>
        <v>0</v>
      </c>
      <c r="I446" s="13">
        <f>SUM(I439:I445)</f>
        <v>0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/>
      <c r="H459" s="18"/>
      <c r="I459" s="56">
        <f t="shared" si="34"/>
        <v>0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0</v>
      </c>
      <c r="H460" s="83">
        <f>SUM(H454:H459)</f>
        <v>0</v>
      </c>
      <c r="I460" s="83">
        <f>SUM(I454:I459)</f>
        <v>0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0</v>
      </c>
      <c r="H461" s="42">
        <f>H452+H460</f>
        <v>0</v>
      </c>
      <c r="I461" s="42">
        <f>I452+I460</f>
        <v>0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/>
      <c r="G465" s="18">
        <v>21758.94</v>
      </c>
      <c r="H465" s="18"/>
      <c r="I465" s="18"/>
      <c r="J465" s="18"/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32680461.600000001</v>
      </c>
      <c r="G468" s="18">
        <v>1199518.6000000001</v>
      </c>
      <c r="H468" s="18">
        <f>H193</f>
        <v>4416723.1399999997</v>
      </c>
      <c r="I468" s="18">
        <f>I193</f>
        <v>0</v>
      </c>
      <c r="J468" s="18"/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32680461.600000001</v>
      </c>
      <c r="G470" s="53">
        <f>SUM(G468:G469)</f>
        <v>1199518.6000000001</v>
      </c>
      <c r="H470" s="53">
        <f>SUM(H468:H469)</f>
        <v>4416723.1399999997</v>
      </c>
      <c r="I470" s="53">
        <f>SUM(I468:I469)</f>
        <v>0</v>
      </c>
      <c r="J470" s="53">
        <f>SUM(J468:J469)</f>
        <v>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32680461.600000001</v>
      </c>
      <c r="G472" s="18">
        <f>L362</f>
        <v>1221277.54</v>
      </c>
      <c r="H472" s="18">
        <f>L352</f>
        <v>4416723.1399999987</v>
      </c>
      <c r="I472" s="18">
        <f>L382</f>
        <v>0</v>
      </c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32680461.600000001</v>
      </c>
      <c r="G474" s="53">
        <f>SUM(G472:G473)</f>
        <v>1221277.54</v>
      </c>
      <c r="H474" s="53">
        <f>SUM(H472:H473)</f>
        <v>4416723.1399999987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0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0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1585027.23-F531+F277</f>
        <v>1711824.01</v>
      </c>
      <c r="G521" s="18">
        <f>858447.32-G531+G277</f>
        <v>908192.75</v>
      </c>
      <c r="H521" s="18">
        <f>1104371.77-H531+H277</f>
        <v>1108614.1400000001</v>
      </c>
      <c r="I521" s="18">
        <f>2911.39-I531+I277</f>
        <v>2911.39</v>
      </c>
      <c r="J521" s="18">
        <f>249.99-J531+J277</f>
        <v>4629.95</v>
      </c>
      <c r="K521" s="18"/>
      <c r="L521" s="88">
        <f>SUM(F521:K521)</f>
        <v>3736172.24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f>694181.71-F532+F296</f>
        <v>687769.96</v>
      </c>
      <c r="G522" s="18">
        <f>375875.68-G532+G296</f>
        <v>370592.23</v>
      </c>
      <c r="H522" s="18">
        <f>222414.79-H532+H296</f>
        <v>223135.47</v>
      </c>
      <c r="I522" s="18">
        <f>3289.57-I527+I296</f>
        <v>2532.08</v>
      </c>
      <c r="J522" s="18">
        <f>59.85-J527+J296</f>
        <v>1861.35</v>
      </c>
      <c r="K522" s="18"/>
      <c r="L522" s="88">
        <f>SUM(F522:K522)</f>
        <v>1285891.0900000001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f>813472.35-F533+F315</f>
        <v>823769.35</v>
      </c>
      <c r="G523" s="18">
        <f>443096.11-G533+G315</f>
        <v>446039.88999999996</v>
      </c>
      <c r="H523" s="18">
        <f>511930.27-H533+H315</f>
        <v>513719.54000000004</v>
      </c>
      <c r="I523" s="18">
        <v>2108.79</v>
      </c>
      <c r="J523" s="18">
        <f>0+J533+J315</f>
        <v>2397.14</v>
      </c>
      <c r="K523" s="18"/>
      <c r="L523" s="88">
        <f>SUM(F523:K523)</f>
        <v>1788034.71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3223363.32</v>
      </c>
      <c r="G524" s="108">
        <f t="shared" ref="G524:L524" si="36">SUM(G521:G523)</f>
        <v>1724824.8699999999</v>
      </c>
      <c r="H524" s="108">
        <f t="shared" si="36"/>
        <v>1845469.1500000001</v>
      </c>
      <c r="I524" s="108">
        <f t="shared" si="36"/>
        <v>7552.2599999999993</v>
      </c>
      <c r="J524" s="108">
        <f t="shared" si="36"/>
        <v>8888.4399999999987</v>
      </c>
      <c r="K524" s="108">
        <f t="shared" si="36"/>
        <v>0</v>
      </c>
      <c r="L524" s="89">
        <f t="shared" si="36"/>
        <v>6810098.04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183260.82</v>
      </c>
      <c r="G526" s="18">
        <f>F526*0.53</f>
        <v>97128.234600000011</v>
      </c>
      <c r="H526" s="18">
        <v>88751.72</v>
      </c>
      <c r="I526" s="18">
        <v>1716.53</v>
      </c>
      <c r="J526" s="18"/>
      <c r="K526" s="18"/>
      <c r="L526" s="88">
        <f>SUM(F526:K526)</f>
        <v>370857.30460000003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41188.800000000003</v>
      </c>
      <c r="G527" s="18">
        <f t="shared" ref="G527:G528" si="37">F527*0.53</f>
        <v>21830.064000000002</v>
      </c>
      <c r="H527" s="18">
        <v>30895.02</v>
      </c>
      <c r="I527" s="18">
        <v>757.49</v>
      </c>
      <c r="J527" s="18"/>
      <c r="K527" s="18"/>
      <c r="L527" s="88">
        <f>SUM(F527:K527)</f>
        <v>94671.374000000011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27459.200000000001</v>
      </c>
      <c r="G528" s="18">
        <f t="shared" si="37"/>
        <v>14553.376000000002</v>
      </c>
      <c r="H528" s="18">
        <v>30895.01</v>
      </c>
      <c r="I528" s="18">
        <v>918.97</v>
      </c>
      <c r="J528" s="18"/>
      <c r="K528" s="18"/>
      <c r="L528" s="88">
        <f>SUM(F528:K528)</f>
        <v>73826.555999999997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251908.82</v>
      </c>
      <c r="G529" s="89">
        <f t="shared" ref="G529:L529" si="38">SUM(G526:G528)</f>
        <v>133511.6746</v>
      </c>
      <c r="H529" s="89">
        <f t="shared" si="38"/>
        <v>150541.75</v>
      </c>
      <c r="I529" s="89">
        <f t="shared" si="38"/>
        <v>3392.99</v>
      </c>
      <c r="J529" s="89">
        <f t="shared" si="38"/>
        <v>0</v>
      </c>
      <c r="K529" s="89">
        <f t="shared" si="38"/>
        <v>0</v>
      </c>
      <c r="L529" s="89">
        <f t="shared" si="38"/>
        <v>539355.23460000008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82038</v>
      </c>
      <c r="G531" s="18">
        <f>F531*0.53</f>
        <v>43480.14</v>
      </c>
      <c r="H531" s="18">
        <v>1310.93</v>
      </c>
      <c r="I531" s="18"/>
      <c r="J531" s="18"/>
      <c r="K531" s="18">
        <v>530</v>
      </c>
      <c r="L531" s="88">
        <f>SUM(F531:K531)</f>
        <v>127359.06999999999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82038</v>
      </c>
      <c r="G532" s="18">
        <f t="shared" ref="G532:G533" si="39">F532*0.53</f>
        <v>43480.14</v>
      </c>
      <c r="H532" s="18">
        <v>1565.97</v>
      </c>
      <c r="I532" s="18"/>
      <c r="J532" s="18"/>
      <c r="K532" s="18">
        <v>680</v>
      </c>
      <c r="L532" s="88">
        <f>SUM(F532:K532)</f>
        <v>127764.11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90538</v>
      </c>
      <c r="G533" s="18">
        <f t="shared" si="39"/>
        <v>47985.14</v>
      </c>
      <c r="H533" s="18">
        <v>1259.5999999999999</v>
      </c>
      <c r="I533" s="18"/>
      <c r="J533" s="18"/>
      <c r="K533" s="18">
        <v>530</v>
      </c>
      <c r="L533" s="88">
        <f>SUM(F533:K533)</f>
        <v>140312.74000000002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254614</v>
      </c>
      <c r="G534" s="89">
        <f t="shared" ref="G534:L534" si="40">SUM(G531:G533)</f>
        <v>134945.41999999998</v>
      </c>
      <c r="H534" s="89">
        <f t="shared" si="40"/>
        <v>4136.5</v>
      </c>
      <c r="I534" s="89">
        <f t="shared" si="40"/>
        <v>0</v>
      </c>
      <c r="J534" s="89">
        <f t="shared" si="40"/>
        <v>0</v>
      </c>
      <c r="K534" s="89">
        <f t="shared" si="40"/>
        <v>1740</v>
      </c>
      <c r="L534" s="89">
        <f t="shared" si="40"/>
        <v>395435.92000000004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7257.74</v>
      </c>
      <c r="I536" s="18"/>
      <c r="J536" s="18"/>
      <c r="K536" s="18"/>
      <c r="L536" s="88">
        <f>SUM(F536:K536)</f>
        <v>7257.74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41">SUM(G536:G538)</f>
        <v>0</v>
      </c>
      <c r="H539" s="89">
        <f t="shared" si="41"/>
        <v>7257.74</v>
      </c>
      <c r="I539" s="89">
        <f t="shared" si="41"/>
        <v>0</v>
      </c>
      <c r="J539" s="89">
        <f t="shared" si="41"/>
        <v>0</v>
      </c>
      <c r="K539" s="89">
        <f t="shared" si="41"/>
        <v>0</v>
      </c>
      <c r="L539" s="89">
        <f t="shared" si="41"/>
        <v>7257.74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167240.31</v>
      </c>
      <c r="I541" s="18"/>
      <c r="J541" s="18"/>
      <c r="K541" s="18"/>
      <c r="L541" s="88">
        <f>SUM(F541:K541)</f>
        <v>167240.31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54226.85</v>
      </c>
      <c r="I542" s="18"/>
      <c r="J542" s="18"/>
      <c r="K542" s="18"/>
      <c r="L542" s="88">
        <f>SUM(F542:K542)</f>
        <v>54226.85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86414.96</v>
      </c>
      <c r="I543" s="18"/>
      <c r="J543" s="18"/>
      <c r="K543" s="18"/>
      <c r="L543" s="88">
        <f>SUM(F543:K543)</f>
        <v>86414.96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2">SUM(G541:G543)</f>
        <v>0</v>
      </c>
      <c r="H544" s="193">
        <f t="shared" si="42"/>
        <v>307882.12</v>
      </c>
      <c r="I544" s="193">
        <f t="shared" si="42"/>
        <v>0</v>
      </c>
      <c r="J544" s="193">
        <f t="shared" si="42"/>
        <v>0</v>
      </c>
      <c r="K544" s="193">
        <f t="shared" si="42"/>
        <v>0</v>
      </c>
      <c r="L544" s="193">
        <f t="shared" si="42"/>
        <v>307882.12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3729886.1399999997</v>
      </c>
      <c r="G545" s="89">
        <f t="shared" ref="G545:L545" si="43">G524+G529+G534+G539+G544</f>
        <v>1993281.9645999998</v>
      </c>
      <c r="H545" s="89">
        <f t="shared" si="43"/>
        <v>2315287.2600000002</v>
      </c>
      <c r="I545" s="89">
        <f t="shared" si="43"/>
        <v>10945.25</v>
      </c>
      <c r="J545" s="89">
        <f t="shared" si="43"/>
        <v>8888.4399999999987</v>
      </c>
      <c r="K545" s="89">
        <f t="shared" si="43"/>
        <v>1740</v>
      </c>
      <c r="L545" s="89">
        <f t="shared" si="43"/>
        <v>8060029.0546000004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3736172.24</v>
      </c>
      <c r="G549" s="87">
        <f>L526</f>
        <v>370857.30460000003</v>
      </c>
      <c r="H549" s="87">
        <f>L531</f>
        <v>127359.06999999999</v>
      </c>
      <c r="I549" s="87">
        <f>L536</f>
        <v>7257.74</v>
      </c>
      <c r="J549" s="87">
        <f>L541</f>
        <v>167240.31</v>
      </c>
      <c r="K549" s="87">
        <f>SUM(F549:J549)</f>
        <v>4408886.6645999998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1285891.0900000001</v>
      </c>
      <c r="G550" s="87">
        <f>L527</f>
        <v>94671.374000000011</v>
      </c>
      <c r="H550" s="87">
        <f>L532</f>
        <v>127764.11</v>
      </c>
      <c r="I550" s="87">
        <f>L537</f>
        <v>0</v>
      </c>
      <c r="J550" s="87">
        <f>L542</f>
        <v>54226.85</v>
      </c>
      <c r="K550" s="87">
        <f>SUM(F550:J550)</f>
        <v>1562553.4240000003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1788034.71</v>
      </c>
      <c r="G551" s="87">
        <f>L528</f>
        <v>73826.555999999997</v>
      </c>
      <c r="H551" s="87">
        <f>L533</f>
        <v>140312.74000000002</v>
      </c>
      <c r="I551" s="87">
        <f>L538</f>
        <v>0</v>
      </c>
      <c r="J551" s="87">
        <f>L543</f>
        <v>86414.96</v>
      </c>
      <c r="K551" s="87">
        <f>SUM(F551:J551)</f>
        <v>2088588.966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4">SUM(F549:F551)</f>
        <v>6810098.04</v>
      </c>
      <c r="G552" s="89">
        <f t="shared" si="44"/>
        <v>539355.23460000008</v>
      </c>
      <c r="H552" s="89">
        <f t="shared" si="44"/>
        <v>395435.92000000004</v>
      </c>
      <c r="I552" s="89">
        <f t="shared" si="44"/>
        <v>7257.74</v>
      </c>
      <c r="J552" s="89">
        <f t="shared" si="44"/>
        <v>307882.12</v>
      </c>
      <c r="K552" s="89">
        <f t="shared" si="44"/>
        <v>8060029.0546000004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5">SUM(F557:F559)</f>
        <v>0</v>
      </c>
      <c r="G560" s="108">
        <f t="shared" si="45"/>
        <v>0</v>
      </c>
      <c r="H560" s="108">
        <f t="shared" si="45"/>
        <v>0</v>
      </c>
      <c r="I560" s="108">
        <f t="shared" si="45"/>
        <v>0</v>
      </c>
      <c r="J560" s="108">
        <f t="shared" si="45"/>
        <v>0</v>
      </c>
      <c r="K560" s="108">
        <f t="shared" si="45"/>
        <v>0</v>
      </c>
      <c r="L560" s="89">
        <f t="shared" si="45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6">SUM(F562:F564)</f>
        <v>0</v>
      </c>
      <c r="G565" s="89">
        <f t="shared" si="46"/>
        <v>0</v>
      </c>
      <c r="H565" s="89">
        <f t="shared" si="46"/>
        <v>0</v>
      </c>
      <c r="I565" s="89">
        <f t="shared" si="46"/>
        <v>0</v>
      </c>
      <c r="J565" s="89">
        <f t="shared" si="46"/>
        <v>0</v>
      </c>
      <c r="K565" s="89">
        <f t="shared" si="46"/>
        <v>0</v>
      </c>
      <c r="L565" s="89">
        <f t="shared" si="46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7">SUM(G567:G569)</f>
        <v>0</v>
      </c>
      <c r="H570" s="193">
        <f t="shared" si="47"/>
        <v>0</v>
      </c>
      <c r="I570" s="193">
        <f t="shared" si="47"/>
        <v>0</v>
      </c>
      <c r="J570" s="193">
        <f t="shared" si="47"/>
        <v>0</v>
      </c>
      <c r="K570" s="193">
        <f t="shared" si="47"/>
        <v>0</v>
      </c>
      <c r="L570" s="193">
        <f t="shared" si="47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8">G560+G565+G570</f>
        <v>0</v>
      </c>
      <c r="H571" s="89">
        <f t="shared" si="48"/>
        <v>0</v>
      </c>
      <c r="I571" s="89">
        <f t="shared" si="48"/>
        <v>0</v>
      </c>
      <c r="J571" s="89">
        <f t="shared" si="48"/>
        <v>0</v>
      </c>
      <c r="K571" s="89">
        <f t="shared" si="48"/>
        <v>0</v>
      </c>
      <c r="L571" s="89">
        <f t="shared" si="48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9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9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9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37457.19</v>
      </c>
      <c r="G579" s="18">
        <v>0</v>
      </c>
      <c r="H579" s="18">
        <v>85740.47</v>
      </c>
      <c r="I579" s="87">
        <f t="shared" si="49"/>
        <v>123197.66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9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9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230116.77</v>
      </c>
      <c r="G582" s="18">
        <v>102803.02</v>
      </c>
      <c r="H582" s="18">
        <v>299063.73</v>
      </c>
      <c r="I582" s="87">
        <f t="shared" si="49"/>
        <v>631983.52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9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9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9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9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9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198794.94</v>
      </c>
      <c r="I591" s="18">
        <v>81856.740000000005</v>
      </c>
      <c r="J591" s="18">
        <v>109142.32</v>
      </c>
      <c r="K591" s="104">
        <f t="shared" ref="K591:K597" si="50">SUM(H591:J591)</f>
        <v>389794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f>97299.34+69940.97</f>
        <v>167240.31</v>
      </c>
      <c r="I592" s="18">
        <f>40064.43+14162.42</f>
        <v>54226.85</v>
      </c>
      <c r="J592" s="18">
        <f>53419.24+21006.22</f>
        <v>74425.459999999992</v>
      </c>
      <c r="K592" s="104">
        <f t="shared" si="50"/>
        <v>295892.62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11989.5</v>
      </c>
      <c r="K593" s="104">
        <f t="shared" si="50"/>
        <v>11989.5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15710.37</v>
      </c>
      <c r="J594" s="18">
        <v>46232.04</v>
      </c>
      <c r="K594" s="104">
        <f t="shared" si="50"/>
        <v>61942.41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f>100+95+100</f>
        <v>295</v>
      </c>
      <c r="I595" s="18">
        <f>435+901.41</f>
        <v>1336.4099999999999</v>
      </c>
      <c r="J595" s="18">
        <f>35+4075.63</f>
        <v>4110.63</v>
      </c>
      <c r="K595" s="104">
        <f t="shared" si="50"/>
        <v>5742.04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>
        <v>3310</v>
      </c>
      <c r="J596" s="18"/>
      <c r="K596" s="104">
        <f t="shared" si="50"/>
        <v>3310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0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366330.25</v>
      </c>
      <c r="I598" s="108">
        <f>SUM(I591:I597)</f>
        <v>156440.37</v>
      </c>
      <c r="J598" s="108">
        <f>SUM(J591:J597)</f>
        <v>245899.95</v>
      </c>
      <c r="K598" s="108">
        <f>SUM(K591:K597)</f>
        <v>768670.57000000007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40486.65+22726.46+6649.97-119.41+0.01</f>
        <v>69743.679999999993</v>
      </c>
      <c r="I604" s="18">
        <f>58884.81+12779.07+1180.73-4599.77-51.18</f>
        <v>68193.66</v>
      </c>
      <c r="J604" s="18">
        <f>59577.17+61626.41+1574.3-73.11</f>
        <v>122704.77</v>
      </c>
      <c r="K604" s="104">
        <f>SUM(H604:J604)</f>
        <v>260642.11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69743.679999999993</v>
      </c>
      <c r="I605" s="108">
        <f>SUM(I602:I604)</f>
        <v>68193.66</v>
      </c>
      <c r="J605" s="108">
        <f>SUM(J602:J604)</f>
        <v>122704.77</v>
      </c>
      <c r="K605" s="108">
        <f>SUM(K602:K604)</f>
        <v>260642.11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f>2932.5+5503.78+34236.4</f>
        <v>42672.68</v>
      </c>
      <c r="G611" s="18"/>
      <c r="H611" s="18">
        <v>21788.61</v>
      </c>
      <c r="I611" s="18">
        <f>278.72+475.43</f>
        <v>754.15000000000009</v>
      </c>
      <c r="J611" s="18"/>
      <c r="K611" s="18"/>
      <c r="L611" s="88">
        <f>SUM(F611:K611)</f>
        <v>65215.44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f>1207.5+2266.26+14097.34</f>
        <v>17571.099999999999</v>
      </c>
      <c r="G612" s="18"/>
      <c r="H612" s="18">
        <v>8971.7800000000007</v>
      </c>
      <c r="I612" s="18">
        <f>114.77+195.76</f>
        <v>310.52999999999997</v>
      </c>
      <c r="J612" s="18"/>
      <c r="K612" s="18"/>
      <c r="L612" s="88">
        <f>SUM(F612:K612)</f>
        <v>26853.409999999996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f>1610+3021.68+18796.46</f>
        <v>23428.14</v>
      </c>
      <c r="G613" s="18"/>
      <c r="H613" s="18">
        <v>11962.37</v>
      </c>
      <c r="I613" s="18">
        <f>153.02+261.02</f>
        <v>414.03999999999996</v>
      </c>
      <c r="J613" s="18"/>
      <c r="K613" s="18"/>
      <c r="L613" s="88">
        <f>SUM(F613:K613)</f>
        <v>35804.550000000003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51">SUM(F611:F613)</f>
        <v>83671.92</v>
      </c>
      <c r="G614" s="108">
        <f t="shared" si="51"/>
        <v>0</v>
      </c>
      <c r="H614" s="108">
        <f t="shared" si="51"/>
        <v>42722.76</v>
      </c>
      <c r="I614" s="108">
        <f t="shared" si="51"/>
        <v>1478.72</v>
      </c>
      <c r="J614" s="108">
        <f t="shared" si="51"/>
        <v>0</v>
      </c>
      <c r="K614" s="108">
        <f t="shared" si="51"/>
        <v>0</v>
      </c>
      <c r="L614" s="89">
        <f t="shared" si="51"/>
        <v>127873.40000000001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1718875.4899999998</v>
      </c>
      <c r="H617" s="109">
        <f>SUM(F52)</f>
        <v>1718875.49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75430.959999999992</v>
      </c>
      <c r="H618" s="109">
        <f>SUM(G52)</f>
        <v>75430.959999999992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1007777.79</v>
      </c>
      <c r="H619" s="109">
        <f>SUM(H52)</f>
        <v>1007777.79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0</v>
      </c>
      <c r="H621" s="109">
        <f>SUM(J52)</f>
        <v>0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0</v>
      </c>
      <c r="H622" s="109">
        <f>F476</f>
        <v>0</v>
      </c>
      <c r="I622" s="121" t="s">
        <v>101</v>
      </c>
      <c r="J622" s="109">
        <f t="shared" ref="J622:J655" si="52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2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2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2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0</v>
      </c>
      <c r="H626" s="109">
        <f>J476</f>
        <v>0</v>
      </c>
      <c r="I626" s="140" t="s">
        <v>105</v>
      </c>
      <c r="J626" s="109">
        <f t="shared" si="52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32680461.600000001</v>
      </c>
      <c r="H627" s="104">
        <f>SUM(F468)</f>
        <v>32680461.600000001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1199518.6000000001</v>
      </c>
      <c r="H628" s="104">
        <f>SUM(G468)</f>
        <v>1199518.6000000001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4416723.1399999997</v>
      </c>
      <c r="H629" s="104">
        <f>SUM(H468)</f>
        <v>4416723.1399999997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32680461.599999998</v>
      </c>
      <c r="H632" s="104">
        <f>SUM(F472)</f>
        <v>32680461.600000001</v>
      </c>
      <c r="I632" s="140" t="s">
        <v>111</v>
      </c>
      <c r="J632" s="109">
        <f t="shared" si="52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4416723.1399999987</v>
      </c>
      <c r="H633" s="104">
        <f>SUM(H472)</f>
        <v>4416723.1399999987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598618.15999999992</v>
      </c>
      <c r="H634" s="104">
        <f>I369</f>
        <v>598618.15999999992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1221277.54</v>
      </c>
      <c r="H635" s="104">
        <f>SUM(G472)</f>
        <v>1221277.54</v>
      </c>
      <c r="I635" s="140" t="s">
        <v>114</v>
      </c>
      <c r="J635" s="109">
        <f t="shared" si="52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2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2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2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2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0</v>
      </c>
      <c r="H640" s="104">
        <f>SUM(G461)</f>
        <v>0</v>
      </c>
      <c r="I640" s="140" t="s">
        <v>858</v>
      </c>
      <c r="J640" s="109">
        <f t="shared" si="52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2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0</v>
      </c>
      <c r="H642" s="104">
        <f>SUM(I461)</f>
        <v>0</v>
      </c>
      <c r="I642" s="140" t="s">
        <v>860</v>
      </c>
      <c r="J642" s="109">
        <f t="shared" si="52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2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2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2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0</v>
      </c>
      <c r="H646" s="104">
        <f>L408</f>
        <v>0</v>
      </c>
      <c r="I646" s="140" t="s">
        <v>478</v>
      </c>
      <c r="J646" s="109">
        <f t="shared" si="52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768670.57000000007</v>
      </c>
      <c r="H647" s="104">
        <f>L208+L226+L244</f>
        <v>768670.57000000007</v>
      </c>
      <c r="I647" s="140" t="s">
        <v>397</v>
      </c>
      <c r="J647" s="109">
        <f t="shared" si="52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260642.11</v>
      </c>
      <c r="H648" s="104">
        <f>(J257+J338)-(J255+J336)</f>
        <v>260642.11</v>
      </c>
      <c r="I648" s="140" t="s">
        <v>703</v>
      </c>
      <c r="J648" s="109">
        <f t="shared" si="52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366330.25</v>
      </c>
      <c r="H649" s="104">
        <f>H598</f>
        <v>366330.25</v>
      </c>
      <c r="I649" s="140" t="s">
        <v>389</v>
      </c>
      <c r="J649" s="109">
        <f t="shared" si="52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156440.37</v>
      </c>
      <c r="H650" s="104">
        <f>I598</f>
        <v>156440.37</v>
      </c>
      <c r="I650" s="140" t="s">
        <v>390</v>
      </c>
      <c r="J650" s="109">
        <f t="shared" si="52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245899.95</v>
      </c>
      <c r="H651" s="104">
        <f>J598</f>
        <v>245899.95</v>
      </c>
      <c r="I651" s="140" t="s">
        <v>391</v>
      </c>
      <c r="J651" s="109">
        <f t="shared" si="52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0</v>
      </c>
      <c r="H652" s="104">
        <f>K263+K345</f>
        <v>0</v>
      </c>
      <c r="I652" s="140" t="s">
        <v>398</v>
      </c>
      <c r="J652" s="109">
        <f t="shared" si="52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200000</v>
      </c>
      <c r="H653" s="104">
        <f>K264</f>
        <v>200000</v>
      </c>
      <c r="I653" s="140" t="s">
        <v>399</v>
      </c>
      <c r="J653" s="109">
        <f t="shared" si="52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2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2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15114190.159999998</v>
      </c>
      <c r="G660" s="19">
        <f>(L229+L309+L359)</f>
        <v>7793763.9199999999</v>
      </c>
      <c r="H660" s="19">
        <f>(L247+L328+L360)</f>
        <v>11868181.230000002</v>
      </c>
      <c r="I660" s="19">
        <f>SUM(F660:H660)</f>
        <v>34776135.310000002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176097.48309665534</v>
      </c>
      <c r="G661" s="19">
        <f>(L359/IF(SUM(L358:L360)=0,1,SUM(L358:L360))*(SUM(G97:G110)))</f>
        <v>92017.427347037272</v>
      </c>
      <c r="H661" s="19">
        <f>(L360/IF(SUM(L358:L360)=0,1,SUM(L358:L360))*(SUM(G97:G110)))</f>
        <v>91353.60955630742</v>
      </c>
      <c r="I661" s="19">
        <f>SUM(F661:H661)</f>
        <v>359468.52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366330.25</v>
      </c>
      <c r="G662" s="19">
        <f>(L226+L306)-(J226+J306)</f>
        <v>156440.37</v>
      </c>
      <c r="H662" s="19">
        <f>(L244+L325)-(J244+J325)</f>
        <v>246284.95</v>
      </c>
      <c r="I662" s="19">
        <f>SUM(F662:H662)</f>
        <v>769055.57000000007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402533.07999999996</v>
      </c>
      <c r="G663" s="199">
        <f>SUM(G575:G587)+SUM(I602:I604)+L612</f>
        <v>197850.09</v>
      </c>
      <c r="H663" s="199">
        <f>SUM(H575:H587)+SUM(J602:J604)+L613</f>
        <v>543313.52</v>
      </c>
      <c r="I663" s="19">
        <f>SUM(F663:H663)</f>
        <v>1143696.69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14169229.346903343</v>
      </c>
      <c r="G664" s="19">
        <f>G660-SUM(G661:G663)</f>
        <v>7347456.032652963</v>
      </c>
      <c r="H664" s="19">
        <f>H660-SUM(H661:H663)</f>
        <v>10987229.150443695</v>
      </c>
      <c r="I664" s="19">
        <f>I660-SUM(I661:I663)</f>
        <v>32503914.530000001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949.54</v>
      </c>
      <c r="G665" s="248">
        <v>427.21</v>
      </c>
      <c r="H665" s="248">
        <v>562.52</v>
      </c>
      <c r="I665" s="19">
        <f>SUM(F665:H665)</f>
        <v>1939.27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14922.2</v>
      </c>
      <c r="G667" s="19">
        <f>ROUND(G664/G665,2)</f>
        <v>17198.7</v>
      </c>
      <c r="H667" s="19">
        <f>ROUND(H664/H665,2)</f>
        <v>19532.16</v>
      </c>
      <c r="I667" s="19">
        <f>ROUND(I664/I665,2)</f>
        <v>16760.900000000001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74.89</v>
      </c>
      <c r="I670" s="19">
        <f>SUM(F670:H670)</f>
        <v>74.89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14922.2</v>
      </c>
      <c r="G672" s="19">
        <f>ROUND((G664+G669)/(G665+G670),2)</f>
        <v>17198.7</v>
      </c>
      <c r="H672" s="19">
        <f>ROUND((H664+H669)/(H665+H670),2)</f>
        <v>17237.3</v>
      </c>
      <c r="I672" s="19">
        <f>ROUND((I664+I669)/(I665+I670),2)</f>
        <v>16137.7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C9" sqref="C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Laconia School District SAU #30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8055063.7199999997</v>
      </c>
      <c r="C9" s="229">
        <f>'DOE25'!G197+'DOE25'!G215+'DOE25'!G233+'DOE25'!G276+'DOE25'!G295+'DOE25'!G314</f>
        <v>4242861.07</v>
      </c>
    </row>
    <row r="10" spans="1:3" x14ac:dyDescent="0.2">
      <c r="A10" t="s">
        <v>779</v>
      </c>
      <c r="B10" s="240">
        <f>6859847.57+699111.57+256280-0.01</f>
        <v>7815239.1300000008</v>
      </c>
      <c r="C10" s="240">
        <f>C9-C11-C12</f>
        <v>4115754.0373000004</v>
      </c>
    </row>
    <row r="11" spans="1:3" x14ac:dyDescent="0.2">
      <c r="A11" t="s">
        <v>780</v>
      </c>
      <c r="B11" s="240">
        <f>0+6457.5</f>
        <v>6457.5</v>
      </c>
      <c r="C11" s="240">
        <f>B11*0.53</f>
        <v>3422.4750000000004</v>
      </c>
    </row>
    <row r="12" spans="1:3" x14ac:dyDescent="0.2">
      <c r="A12" t="s">
        <v>781</v>
      </c>
      <c r="B12" s="240">
        <f>114770.77+118596.32</f>
        <v>233367.09000000003</v>
      </c>
      <c r="C12" s="240">
        <f>B12*0.53</f>
        <v>123684.55770000002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8055063.7200000007</v>
      </c>
      <c r="C13" s="231">
        <f>SUM(C10:C12)</f>
        <v>4242861.07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3477977.32</v>
      </c>
      <c r="C18" s="229">
        <f>'DOE25'!G198+'DOE25'!G216+'DOE25'!G234+'DOE25'!G277+'DOE25'!G296+'DOE25'!G315</f>
        <v>1859770.2899999998</v>
      </c>
    </row>
    <row r="19" spans="1:3" x14ac:dyDescent="0.2">
      <c r="A19" t="s">
        <v>779</v>
      </c>
      <c r="B19" s="240">
        <f>1424749.52+385296.03+105042</f>
        <v>1915087.55</v>
      </c>
      <c r="C19" s="240">
        <f>C18-C20-C21</f>
        <v>1031438.7118999998</v>
      </c>
    </row>
    <row r="20" spans="1:3" x14ac:dyDescent="0.2">
      <c r="A20" t="s">
        <v>780</v>
      </c>
      <c r="B20" s="240">
        <f>1200097.77+0</f>
        <v>1200097.77</v>
      </c>
      <c r="C20" s="240">
        <f>B20*0.53</f>
        <v>636051.81810000003</v>
      </c>
    </row>
    <row r="21" spans="1:3" x14ac:dyDescent="0.2">
      <c r="A21" t="s">
        <v>781</v>
      </c>
      <c r="B21" s="240">
        <f>362792+0</f>
        <v>362792</v>
      </c>
      <c r="C21" s="240">
        <f>B21*0.53</f>
        <v>192279.76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3477977.3200000003</v>
      </c>
      <c r="C22" s="231">
        <f>SUM(C19:C21)</f>
        <v>1859770.2899999998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1075379.93</v>
      </c>
      <c r="C27" s="234">
        <f>'DOE25'!G199+'DOE25'!G217+'DOE25'!G235+'DOE25'!G278+'DOE25'!G297+'DOE25'!G316</f>
        <v>555115.1</v>
      </c>
    </row>
    <row r="28" spans="1:3" x14ac:dyDescent="0.2">
      <c r="A28" t="s">
        <v>779</v>
      </c>
      <c r="B28" s="240">
        <f>661103.91+59485.6</f>
        <v>720589.51</v>
      </c>
      <c r="C28" s="240">
        <f>C27-C29-C30</f>
        <v>367076.17739999993</v>
      </c>
    </row>
    <row r="29" spans="1:3" x14ac:dyDescent="0.2">
      <c r="A29" t="s">
        <v>780</v>
      </c>
      <c r="B29" s="240">
        <f>31951.41+0</f>
        <v>31951.41</v>
      </c>
      <c r="C29" s="240">
        <f>B29*0.53</f>
        <v>16934.247299999999</v>
      </c>
    </row>
    <row r="30" spans="1:3" x14ac:dyDescent="0.2">
      <c r="A30" t="s">
        <v>781</v>
      </c>
      <c r="B30" s="240">
        <f>303170.33+19668.68</f>
        <v>322839.01</v>
      </c>
      <c r="C30" s="240">
        <f>B30*0.53</f>
        <v>171104.6753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1075379.9300000002</v>
      </c>
      <c r="C31" s="231">
        <f>SUM(C28:C30)</f>
        <v>555115.09999999986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227168.32</v>
      </c>
      <c r="C36" s="235">
        <f>'DOE25'!G200+'DOE25'!G218+'DOE25'!G236+'DOE25'!G279+'DOE25'!G298+'DOE25'!G317</f>
        <v>123575.62</v>
      </c>
    </row>
    <row r="37" spans="1:3" x14ac:dyDescent="0.2">
      <c r="A37" t="s">
        <v>779</v>
      </c>
      <c r="B37" s="240">
        <v>227168.32</v>
      </c>
      <c r="C37" s="240">
        <f>C36-C38-C39</f>
        <v>123575.62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227168.32</v>
      </c>
      <c r="C40" s="231">
        <f>SUM(C37:C39)</f>
        <v>123575.62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Laconia School District SAU #30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20244678.100000001</v>
      </c>
      <c r="D5" s="20">
        <f>SUM('DOE25'!L197:L200)+SUM('DOE25'!L215:L218)+SUM('DOE25'!L233:L236)-F5-G5</f>
        <v>20188265.630000003</v>
      </c>
      <c r="E5" s="243"/>
      <c r="F5" s="255">
        <f>SUM('DOE25'!J197:J200)+SUM('DOE25'!J215:J218)+SUM('DOE25'!J233:J236)</f>
        <v>54603.47</v>
      </c>
      <c r="G5" s="53">
        <f>SUM('DOE25'!K197:K200)+SUM('DOE25'!K215:K218)+SUM('DOE25'!K233:K236)</f>
        <v>1809</v>
      </c>
      <c r="H5" s="259"/>
    </row>
    <row r="6" spans="1:9" x14ac:dyDescent="0.2">
      <c r="A6" s="32">
        <v>2100</v>
      </c>
      <c r="B6" t="s">
        <v>801</v>
      </c>
      <c r="C6" s="245">
        <f t="shared" si="0"/>
        <v>1589670.3099999998</v>
      </c>
      <c r="D6" s="20">
        <f>'DOE25'!L202+'DOE25'!L220+'DOE25'!L238-F6-G6</f>
        <v>1589550.3099999998</v>
      </c>
      <c r="E6" s="243"/>
      <c r="F6" s="255">
        <f>'DOE25'!J202+'DOE25'!J220+'DOE25'!J238</f>
        <v>0</v>
      </c>
      <c r="G6" s="53">
        <f>'DOE25'!K202+'DOE25'!K220+'DOE25'!K238</f>
        <v>120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1079609.55</v>
      </c>
      <c r="D7" s="20">
        <f>'DOE25'!L203+'DOE25'!L221+'DOE25'!L239-F7-G7</f>
        <v>995793.22000000009</v>
      </c>
      <c r="E7" s="243"/>
      <c r="F7" s="255">
        <f>'DOE25'!J203+'DOE25'!J221+'DOE25'!J239</f>
        <v>83816.33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844110.86999999988</v>
      </c>
      <c r="D8" s="243"/>
      <c r="E8" s="20">
        <f>'DOE25'!L204+'DOE25'!L222+'DOE25'!L240-F8-G8-D9-D11</f>
        <v>805998.42999999993</v>
      </c>
      <c r="F8" s="255">
        <f>'DOE25'!J204+'DOE25'!J222+'DOE25'!J240</f>
        <v>0</v>
      </c>
      <c r="G8" s="53">
        <f>'DOE25'!K204+'DOE25'!K222+'DOE25'!K240</f>
        <v>38112.44</v>
      </c>
      <c r="H8" s="259"/>
    </row>
    <row r="9" spans="1:9" x14ac:dyDescent="0.2">
      <c r="A9" s="32">
        <v>2310</v>
      </c>
      <c r="B9" t="s">
        <v>818</v>
      </c>
      <c r="C9" s="245">
        <f t="shared" si="0"/>
        <v>38101.050000000003</v>
      </c>
      <c r="D9" s="244">
        <v>38101.050000000003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19295</v>
      </c>
      <c r="D10" s="243"/>
      <c r="E10" s="244">
        <v>19295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272299.28999999998</v>
      </c>
      <c r="D11" s="244">
        <v>272299.28999999998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1855994.6800000002</v>
      </c>
      <c r="D12" s="20">
        <f>'DOE25'!L205+'DOE25'!L223+'DOE25'!L241-F12-G12</f>
        <v>1850984.5400000003</v>
      </c>
      <c r="E12" s="243"/>
      <c r="F12" s="255">
        <f>'DOE25'!J205+'DOE25'!J223+'DOE25'!J241</f>
        <v>0</v>
      </c>
      <c r="G12" s="53">
        <f>'DOE25'!K205+'DOE25'!K223+'DOE25'!K241</f>
        <v>5010.1400000000003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502625.03999999992</v>
      </c>
      <c r="D13" s="243"/>
      <c r="E13" s="20">
        <f>'DOE25'!L206+'DOE25'!L224+'DOE25'!L242-F13-G13</f>
        <v>502625.03999999992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2419962.67</v>
      </c>
      <c r="D14" s="20">
        <f>'DOE25'!L207+'DOE25'!L225+'DOE25'!L243-F14-G14</f>
        <v>2399433.84</v>
      </c>
      <c r="E14" s="243"/>
      <c r="F14" s="255">
        <f>'DOE25'!J207+'DOE25'!J225+'DOE25'!J243</f>
        <v>20528.830000000002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768670.57000000007</v>
      </c>
      <c r="D15" s="20">
        <f>'DOE25'!L208+'DOE25'!L226+'DOE25'!L244-F15-G15</f>
        <v>768670.57000000007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283921.58999999997</v>
      </c>
      <c r="D17" s="20">
        <f>'DOE25'!L251-F17-G17</f>
        <v>281206.58999999997</v>
      </c>
      <c r="E17" s="243"/>
      <c r="F17" s="255">
        <f>'DOE25'!J251</f>
        <v>0</v>
      </c>
      <c r="G17" s="53">
        <f>'DOE25'!K251</f>
        <v>2715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2580817.88</v>
      </c>
      <c r="D25" s="243"/>
      <c r="E25" s="243"/>
      <c r="F25" s="258"/>
      <c r="G25" s="256"/>
      <c r="H25" s="257">
        <f>'DOE25'!L260+'DOE25'!L261+'DOE25'!L341+'DOE25'!L342</f>
        <v>2580817.88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674371.13000000012</v>
      </c>
      <c r="D29" s="20">
        <f>'DOE25'!L358+'DOE25'!L359+'DOE25'!L360-'DOE25'!I367-F29-G29</f>
        <v>669778.8600000001</v>
      </c>
      <c r="E29" s="243"/>
      <c r="F29" s="255">
        <f>'DOE25'!J358+'DOE25'!J359+'DOE25'!J360</f>
        <v>4592.2700000000004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4211868.13</v>
      </c>
      <c r="D31" s="20">
        <f>'DOE25'!L290+'DOE25'!L309+'DOE25'!L328+'DOE25'!L333+'DOE25'!L334+'DOE25'!L335-F31-G31</f>
        <v>4098955.4</v>
      </c>
      <c r="E31" s="243"/>
      <c r="F31" s="255">
        <f>'DOE25'!J290+'DOE25'!J309+'DOE25'!J328+'DOE25'!J333+'DOE25'!J334+'DOE25'!J335</f>
        <v>101693.48</v>
      </c>
      <c r="G31" s="53">
        <f>'DOE25'!K290+'DOE25'!K309+'DOE25'!K328+'DOE25'!K333+'DOE25'!K334+'DOE25'!K335</f>
        <v>11219.25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33153039.299999997</v>
      </c>
      <c r="E33" s="246">
        <f>SUM(E5:E31)</f>
        <v>1327918.4699999997</v>
      </c>
      <c r="F33" s="246">
        <f>SUM(F5:F31)</f>
        <v>265234.38</v>
      </c>
      <c r="G33" s="246">
        <f>SUM(G5:G31)</f>
        <v>58985.83</v>
      </c>
      <c r="H33" s="246">
        <f>SUM(H5:H31)</f>
        <v>2580817.88</v>
      </c>
    </row>
    <row r="35" spans="2:8" ht="12" thickBot="1" x14ac:dyDescent="0.25">
      <c r="B35" s="253" t="s">
        <v>847</v>
      </c>
      <c r="D35" s="254">
        <f>E33</f>
        <v>1327918.4699999997</v>
      </c>
      <c r="E35" s="249"/>
    </row>
    <row r="36" spans="2:8" ht="12" thickTop="1" x14ac:dyDescent="0.2">
      <c r="B36" t="s">
        <v>815</v>
      </c>
      <c r="D36" s="20">
        <f>D33</f>
        <v>33153039.299999997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6" activePane="bottomLeft" state="frozen"/>
      <selection activeCell="F46" sqref="F46"/>
      <selection pane="bottomLeft" activeCell="G160" sqref="G16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Laconia School District SAU #30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962.34</v>
      </c>
      <c r="D8" s="95">
        <f>'DOE25'!G9</f>
        <v>400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739475.18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767422.38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165959.67000000001</v>
      </c>
      <c r="D12" s="95">
        <f>'DOE25'!G13</f>
        <v>50065.96</v>
      </c>
      <c r="E12" s="95">
        <f>'DOE25'!H13</f>
        <v>1001857.79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18269.419999999998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24965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16786.5</v>
      </c>
      <c r="D16" s="95">
        <f>'DOE25'!G17</f>
        <v>0</v>
      </c>
      <c r="E16" s="95">
        <f>'DOE25'!H17</f>
        <v>5920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10000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1718875.4899999998</v>
      </c>
      <c r="D18" s="41">
        <f>SUM(D8:D17)</f>
        <v>75430.959999999992</v>
      </c>
      <c r="E18" s="41">
        <f>SUM(E8:E17)</f>
        <v>1007777.79</v>
      </c>
      <c r="F18" s="41">
        <f>SUM(F8:F17)</f>
        <v>0</v>
      </c>
      <c r="G18" s="41">
        <f>SUM(G8:G17)</f>
        <v>0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65973.509999999995</v>
      </c>
      <c r="E21" s="95">
        <f>'DOE25'!H22</f>
        <v>855899.93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1391237.73</v>
      </c>
      <c r="D23" s="95">
        <f>'DOE25'!G24</f>
        <v>8692.56</v>
      </c>
      <c r="E23" s="95">
        <f>'DOE25'!H24</f>
        <v>53107.68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33305.08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100</v>
      </c>
      <c r="D29" s="95">
        <f>'DOE25'!G30</f>
        <v>0</v>
      </c>
      <c r="E29" s="95">
        <f>'DOE25'!H30</f>
        <v>98770.18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294232.68</v>
      </c>
      <c r="D30" s="95">
        <f>'DOE25'!G31</f>
        <v>764.89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1718875.49</v>
      </c>
      <c r="D31" s="41">
        <f>SUM(D21:D30)</f>
        <v>75430.959999999992</v>
      </c>
      <c r="E31" s="41">
        <f>SUM(E21:E30)</f>
        <v>1007777.79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0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0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1718875.49</v>
      </c>
      <c r="D51" s="41">
        <f>D50+D31</f>
        <v>75430.959999999992</v>
      </c>
      <c r="E51" s="41">
        <f>E50+E31</f>
        <v>1007777.79</v>
      </c>
      <c r="F51" s="41">
        <f>F50+F31</f>
        <v>0</v>
      </c>
      <c r="G51" s="41">
        <f>G50+G31</f>
        <v>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18359179.940000001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523424.5</v>
      </c>
      <c r="D57" s="24" t="s">
        <v>289</v>
      </c>
      <c r="E57" s="95">
        <f>'DOE25'!H79</f>
        <v>135279.28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359468.52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7092.96</v>
      </c>
      <c r="D61" s="95">
        <f>SUM('DOE25'!G98:G110)</f>
        <v>0</v>
      </c>
      <c r="E61" s="95">
        <f>SUM('DOE25'!H98:H110)</f>
        <v>193424.7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530517.46</v>
      </c>
      <c r="D62" s="130">
        <f>SUM(D57:D61)</f>
        <v>359468.52</v>
      </c>
      <c r="E62" s="130">
        <f>SUM(E57:E61)</f>
        <v>328703.98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18889697.400000002</v>
      </c>
      <c r="D63" s="22">
        <f>D56+D62</f>
        <v>359468.52</v>
      </c>
      <c r="E63" s="22">
        <f>E56+E62</f>
        <v>328703.98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6507615.6299999999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4402329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51348.13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10909944.629999999</v>
      </c>
      <c r="D70" s="139">
        <f>D69</f>
        <v>51348.13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766480.04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85445.72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1186347.8400000001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16103.08</v>
      </c>
      <c r="E77" s="95">
        <f>SUM('DOE25'!H131:H135)</f>
        <v>34287.58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2038273.6</v>
      </c>
      <c r="D78" s="130">
        <f>SUM(D72:D77)</f>
        <v>16103.08</v>
      </c>
      <c r="E78" s="130">
        <f>SUM(E72:E77)</f>
        <v>34287.58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12948218.229999999</v>
      </c>
      <c r="D81" s="130">
        <f>SUM(D79:D80)+D78+D70</f>
        <v>67451.209999999992</v>
      </c>
      <c r="E81" s="130">
        <f>SUM(E79:E80)+E78+E70</f>
        <v>34287.58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310637.15999999997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612545.97</v>
      </c>
      <c r="D88" s="95">
        <f>SUM('DOE25'!G153:G161)</f>
        <v>772598.87</v>
      </c>
      <c r="E88" s="95">
        <f>SUM('DOE25'!H153:H161)</f>
        <v>3543094.42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612545.97</v>
      </c>
      <c r="D91" s="131">
        <f>SUM(D85:D90)</f>
        <v>772598.87</v>
      </c>
      <c r="E91" s="131">
        <f>SUM(E85:E90)</f>
        <v>3853731.58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0</v>
      </c>
      <c r="E96" s="95">
        <f>'DOE25'!H179</f>
        <v>200000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230000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230000</v>
      </c>
      <c r="D103" s="86">
        <f>SUM(D93:D102)</f>
        <v>0</v>
      </c>
      <c r="E103" s="86">
        <f>SUM(E93:E102)</f>
        <v>200000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32680461.600000001</v>
      </c>
      <c r="D104" s="86">
        <f>D63+D81+D91+D103</f>
        <v>1199518.6000000001</v>
      </c>
      <c r="E104" s="86">
        <f>E63+E81+E91+E103</f>
        <v>4416723.1399999997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11580318.5</v>
      </c>
      <c r="D109" s="24" t="s">
        <v>289</v>
      </c>
      <c r="E109" s="95">
        <f>('DOE25'!L276)+('DOE25'!L295)+('DOE25'!L314)</f>
        <v>1356846.5699999998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6619176.8200000003</v>
      </c>
      <c r="D110" s="24" t="s">
        <v>289</v>
      </c>
      <c r="E110" s="95">
        <f>('DOE25'!L277)+('DOE25'!L296)+('DOE25'!L315)</f>
        <v>587114.62999999989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1605346.66</v>
      </c>
      <c r="D111" s="24" t="s">
        <v>289</v>
      </c>
      <c r="E111" s="95">
        <f>('DOE25'!L278)+('DOE25'!L297)+('DOE25'!L316)</f>
        <v>242685.33000000002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439836.12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2086.2399999999998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283921.58999999997</v>
      </c>
      <c r="D114" s="24" t="s">
        <v>289</v>
      </c>
      <c r="E114" s="95">
        <f>+ SUM('DOE25'!L333:L335)</f>
        <v>272732.49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20528599.690000001</v>
      </c>
      <c r="D115" s="86">
        <f>SUM(D109:D114)</f>
        <v>0</v>
      </c>
      <c r="E115" s="86">
        <f>SUM(E109:E114)</f>
        <v>2461465.2599999998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1589670.3099999998</v>
      </c>
      <c r="D118" s="24" t="s">
        <v>289</v>
      </c>
      <c r="E118" s="95">
        <f>+('DOE25'!L281)+('DOE25'!L300)+('DOE25'!L319)</f>
        <v>303972.98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1079609.55</v>
      </c>
      <c r="D119" s="24" t="s">
        <v>289</v>
      </c>
      <c r="E119" s="95">
        <f>+('DOE25'!L282)+('DOE25'!L301)+('DOE25'!L320)</f>
        <v>873780.37999999989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1154511.21</v>
      </c>
      <c r="D120" s="24" t="s">
        <v>289</v>
      </c>
      <c r="E120" s="95">
        <f>+('DOE25'!L283)+('DOE25'!L302)+('DOE25'!L321)</f>
        <v>566912.99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1855994.6800000002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502625.03999999992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2419962.67</v>
      </c>
      <c r="D123" s="24" t="s">
        <v>289</v>
      </c>
      <c r="E123" s="95">
        <f>+('DOE25'!L286)+('DOE25'!L305)+('DOE25'!L324)</f>
        <v>4237.76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768670.57000000007</v>
      </c>
      <c r="D124" s="24" t="s">
        <v>289</v>
      </c>
      <c r="E124" s="95">
        <f>+('DOE25'!L287)+('DOE25'!L306)+('DOE25'!L325)</f>
        <v>385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3200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1221277.54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9371044.0300000012</v>
      </c>
      <c r="D128" s="86">
        <f>SUM(D118:D127)</f>
        <v>1221277.54</v>
      </c>
      <c r="E128" s="86">
        <f>SUM(E118:E127)</f>
        <v>1752489.1099999999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1917550.45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663267.43000000005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200000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200000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2768.77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2780817.88</v>
      </c>
      <c r="D144" s="141">
        <f>SUM(D130:D143)</f>
        <v>0</v>
      </c>
      <c r="E144" s="141">
        <f>SUM(E130:E143)</f>
        <v>202768.77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32680461.600000001</v>
      </c>
      <c r="D145" s="86">
        <f>(D115+D128+D144)</f>
        <v>1221277.54</v>
      </c>
      <c r="E145" s="86">
        <f>(E115+E128+E144)</f>
        <v>4416723.1399999987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Laconia School District SAU #30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14922</v>
      </c>
    </row>
    <row r="5" spans="1:4" x14ac:dyDescent="0.2">
      <c r="B5" t="s">
        <v>704</v>
      </c>
      <c r="C5" s="179">
        <f>IF('DOE25'!G665+'DOE25'!G670=0,0,ROUND('DOE25'!G672,0))</f>
        <v>17199</v>
      </c>
    </row>
    <row r="6" spans="1:4" x14ac:dyDescent="0.2">
      <c r="B6" t="s">
        <v>62</v>
      </c>
      <c r="C6" s="179">
        <f>IF('DOE25'!H665+'DOE25'!H670=0,0,ROUND('DOE25'!H672,0))</f>
        <v>17237</v>
      </c>
    </row>
    <row r="7" spans="1:4" x14ac:dyDescent="0.2">
      <c r="B7" t="s">
        <v>705</v>
      </c>
      <c r="C7" s="179">
        <f>IF('DOE25'!I665+'DOE25'!I670=0,0,ROUND('DOE25'!I672,0))</f>
        <v>16138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12937165</v>
      </c>
      <c r="D10" s="182">
        <f>ROUND((C10/$C$28)*100,1)</f>
        <v>36.299999999999997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7206291</v>
      </c>
      <c r="D11" s="182">
        <f>ROUND((C11/$C$28)*100,1)</f>
        <v>20.2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1848032</v>
      </c>
      <c r="D12" s="182">
        <f>ROUND((C12/$C$28)*100,1)</f>
        <v>5.2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439836</v>
      </c>
      <c r="D13" s="182">
        <f>ROUND((C13/$C$28)*100,1)</f>
        <v>1.2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1893643</v>
      </c>
      <c r="D15" s="182">
        <f t="shared" ref="D15:D27" si="0">ROUND((C15/$C$28)*100,1)</f>
        <v>5.3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1953390</v>
      </c>
      <c r="D16" s="182">
        <f t="shared" si="0"/>
        <v>5.5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1724624</v>
      </c>
      <c r="D17" s="182">
        <f t="shared" si="0"/>
        <v>4.8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1855995</v>
      </c>
      <c r="D18" s="182">
        <f t="shared" si="0"/>
        <v>5.2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502625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2424200</v>
      </c>
      <c r="D20" s="182">
        <f t="shared" si="0"/>
        <v>6.8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769056</v>
      </c>
      <c r="D21" s="182">
        <f t="shared" si="0"/>
        <v>2.2000000000000002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2086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556654</v>
      </c>
      <c r="D24" s="182">
        <f t="shared" si="0"/>
        <v>1.6</v>
      </c>
    </row>
    <row r="25" spans="1:4" x14ac:dyDescent="0.2">
      <c r="A25">
        <v>5120</v>
      </c>
      <c r="B25" t="s">
        <v>720</v>
      </c>
      <c r="C25" s="179">
        <f>ROUND('DOE25'!L261+'DOE25'!L342,0)</f>
        <v>663267</v>
      </c>
      <c r="D25" s="182">
        <f t="shared" si="0"/>
        <v>1.9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2768.77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861809.48</v>
      </c>
      <c r="D27" s="182">
        <f t="shared" si="0"/>
        <v>2.4</v>
      </c>
    </row>
    <row r="28" spans="1:4" x14ac:dyDescent="0.2">
      <c r="B28" s="187" t="s">
        <v>723</v>
      </c>
      <c r="C28" s="180">
        <f>SUM(C10:C27)</f>
        <v>35641442.25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35641442.25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1917550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18359180</v>
      </c>
      <c r="D35" s="182">
        <f t="shared" ref="D35:D40" si="1">ROUND((C35/$C$41)*100,1)</f>
        <v>48.9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859221.38000000268</v>
      </c>
      <c r="D36" s="182">
        <f t="shared" si="1"/>
        <v>2.2999999999999998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10909945</v>
      </c>
      <c r="D37" s="182">
        <f t="shared" si="1"/>
        <v>29.1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2140012</v>
      </c>
      <c r="D38" s="182">
        <f t="shared" si="1"/>
        <v>5.7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5238876</v>
      </c>
      <c r="D39" s="182">
        <f t="shared" si="1"/>
        <v>14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37507234.380000003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4" t="s">
        <v>770</v>
      </c>
      <c r="B1" s="295"/>
      <c r="C1" s="295"/>
      <c r="D1" s="295"/>
      <c r="E1" s="295"/>
      <c r="F1" s="295"/>
      <c r="G1" s="295"/>
      <c r="H1" s="295"/>
      <c r="I1" s="295"/>
      <c r="J1" s="213"/>
      <c r="K1" s="213"/>
      <c r="L1" s="213"/>
      <c r="M1" s="214"/>
    </row>
    <row r="2" spans="1:26" ht="12.75" x14ac:dyDescent="0.2">
      <c r="A2" s="300" t="s">
        <v>767</v>
      </c>
      <c r="B2" s="301"/>
      <c r="C2" s="301"/>
      <c r="D2" s="301"/>
      <c r="E2" s="301"/>
      <c r="F2" s="298" t="str">
        <f>'DOE25'!A2</f>
        <v>Laconia School District SAU #30</v>
      </c>
      <c r="G2" s="299"/>
      <c r="H2" s="299"/>
      <c r="I2" s="299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6" t="s">
        <v>771</v>
      </c>
      <c r="D3" s="296"/>
      <c r="E3" s="296"/>
      <c r="F3" s="296"/>
      <c r="G3" s="296"/>
      <c r="H3" s="296"/>
      <c r="I3" s="296"/>
      <c r="J3" s="296"/>
      <c r="K3" s="296"/>
      <c r="L3" s="296"/>
      <c r="M3" s="297"/>
    </row>
    <row r="4" spans="1:26" x14ac:dyDescent="0.2">
      <c r="A4" s="218"/>
      <c r="B4" s="219"/>
      <c r="C4" s="285"/>
      <c r="D4" s="285"/>
      <c r="E4" s="285"/>
      <c r="F4" s="285"/>
      <c r="G4" s="285"/>
      <c r="H4" s="285"/>
      <c r="I4" s="285"/>
      <c r="J4" s="285"/>
      <c r="K4" s="285"/>
      <c r="L4" s="285"/>
      <c r="M4" s="28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5"/>
      <c r="D5" s="285"/>
      <c r="E5" s="285"/>
      <c r="F5" s="285"/>
      <c r="G5" s="285"/>
      <c r="H5" s="285"/>
      <c r="I5" s="285"/>
      <c r="J5" s="285"/>
      <c r="K5" s="285"/>
      <c r="L5" s="285"/>
      <c r="M5" s="286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5"/>
      <c r="D6" s="285"/>
      <c r="E6" s="285"/>
      <c r="F6" s="285"/>
      <c r="G6" s="285"/>
      <c r="H6" s="285"/>
      <c r="I6" s="285"/>
      <c r="J6" s="285"/>
      <c r="K6" s="285"/>
      <c r="L6" s="285"/>
      <c r="M6" s="286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5"/>
      <c r="D7" s="285"/>
      <c r="E7" s="285"/>
      <c r="F7" s="285"/>
      <c r="G7" s="285"/>
      <c r="H7" s="285"/>
      <c r="I7" s="285"/>
      <c r="J7" s="285"/>
      <c r="K7" s="285"/>
      <c r="L7" s="285"/>
      <c r="M7" s="286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5"/>
      <c r="D8" s="285"/>
      <c r="E8" s="285"/>
      <c r="F8" s="285"/>
      <c r="G8" s="285"/>
      <c r="H8" s="285"/>
      <c r="I8" s="285"/>
      <c r="J8" s="285"/>
      <c r="K8" s="285"/>
      <c r="L8" s="285"/>
      <c r="M8" s="286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5"/>
      <c r="D9" s="285"/>
      <c r="E9" s="285"/>
      <c r="F9" s="285"/>
      <c r="G9" s="285"/>
      <c r="H9" s="285"/>
      <c r="I9" s="285"/>
      <c r="J9" s="285"/>
      <c r="K9" s="285"/>
      <c r="L9" s="285"/>
      <c r="M9" s="286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5"/>
      <c r="D10" s="285"/>
      <c r="E10" s="285"/>
      <c r="F10" s="285"/>
      <c r="G10" s="285"/>
      <c r="H10" s="285"/>
      <c r="I10" s="285"/>
      <c r="J10" s="285"/>
      <c r="K10" s="285"/>
      <c r="L10" s="285"/>
      <c r="M10" s="286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5"/>
      <c r="D11" s="285"/>
      <c r="E11" s="285"/>
      <c r="F11" s="285"/>
      <c r="G11" s="285"/>
      <c r="H11" s="285"/>
      <c r="I11" s="285"/>
      <c r="J11" s="285"/>
      <c r="K11" s="285"/>
      <c r="L11" s="285"/>
      <c r="M11" s="286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5"/>
      <c r="D12" s="285"/>
      <c r="E12" s="285"/>
      <c r="F12" s="285"/>
      <c r="G12" s="285"/>
      <c r="H12" s="285"/>
      <c r="I12" s="285"/>
      <c r="J12" s="285"/>
      <c r="K12" s="285"/>
      <c r="L12" s="285"/>
      <c r="M12" s="286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5"/>
      <c r="D13" s="285"/>
      <c r="E13" s="285"/>
      <c r="F13" s="285"/>
      <c r="G13" s="285"/>
      <c r="H13" s="285"/>
      <c r="I13" s="285"/>
      <c r="J13" s="285"/>
      <c r="K13" s="285"/>
      <c r="L13" s="285"/>
      <c r="M13" s="286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5"/>
      <c r="D14" s="285"/>
      <c r="E14" s="285"/>
      <c r="F14" s="285"/>
      <c r="G14" s="285"/>
      <c r="H14" s="285"/>
      <c r="I14" s="285"/>
      <c r="J14" s="285"/>
      <c r="K14" s="285"/>
      <c r="L14" s="285"/>
      <c r="M14" s="286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5"/>
      <c r="D15" s="285"/>
      <c r="E15" s="285"/>
      <c r="F15" s="285"/>
      <c r="G15" s="285"/>
      <c r="H15" s="285"/>
      <c r="I15" s="285"/>
      <c r="J15" s="285"/>
      <c r="K15" s="285"/>
      <c r="L15" s="285"/>
      <c r="M15" s="286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5"/>
      <c r="D16" s="285"/>
      <c r="E16" s="285"/>
      <c r="F16" s="285"/>
      <c r="G16" s="285"/>
      <c r="H16" s="285"/>
      <c r="I16" s="285"/>
      <c r="J16" s="285"/>
      <c r="K16" s="285"/>
      <c r="L16" s="285"/>
      <c r="M16" s="286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5"/>
      <c r="D17" s="285"/>
      <c r="E17" s="285"/>
      <c r="F17" s="285"/>
      <c r="G17" s="285"/>
      <c r="H17" s="285"/>
      <c r="I17" s="285"/>
      <c r="J17" s="285"/>
      <c r="K17" s="285"/>
      <c r="L17" s="285"/>
      <c r="M17" s="286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5"/>
      <c r="D18" s="285"/>
      <c r="E18" s="285"/>
      <c r="F18" s="285"/>
      <c r="G18" s="285"/>
      <c r="H18" s="285"/>
      <c r="I18" s="285"/>
      <c r="J18" s="285"/>
      <c r="K18" s="285"/>
      <c r="L18" s="285"/>
      <c r="M18" s="286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5"/>
      <c r="D19" s="285"/>
      <c r="E19" s="285"/>
      <c r="F19" s="285"/>
      <c r="G19" s="285"/>
      <c r="H19" s="285"/>
      <c r="I19" s="285"/>
      <c r="J19" s="285"/>
      <c r="K19" s="285"/>
      <c r="L19" s="285"/>
      <c r="M19" s="286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5"/>
      <c r="D20" s="285"/>
      <c r="E20" s="285"/>
      <c r="F20" s="285"/>
      <c r="G20" s="285"/>
      <c r="H20" s="285"/>
      <c r="I20" s="285"/>
      <c r="J20" s="285"/>
      <c r="K20" s="285"/>
      <c r="L20" s="285"/>
      <c r="M20" s="286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5"/>
      <c r="D21" s="285"/>
      <c r="E21" s="285"/>
      <c r="F21" s="285"/>
      <c r="G21" s="285"/>
      <c r="H21" s="285"/>
      <c r="I21" s="285"/>
      <c r="J21" s="285"/>
      <c r="K21" s="285"/>
      <c r="L21" s="285"/>
      <c r="M21" s="286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5"/>
      <c r="D22" s="285"/>
      <c r="E22" s="285"/>
      <c r="F22" s="285"/>
      <c r="G22" s="285"/>
      <c r="H22" s="285"/>
      <c r="I22" s="285"/>
      <c r="J22" s="285"/>
      <c r="K22" s="285"/>
      <c r="L22" s="285"/>
      <c r="M22" s="286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5"/>
      <c r="D23" s="285"/>
      <c r="E23" s="285"/>
      <c r="F23" s="285"/>
      <c r="G23" s="285"/>
      <c r="H23" s="285"/>
      <c r="I23" s="285"/>
      <c r="J23" s="285"/>
      <c r="K23" s="285"/>
      <c r="L23" s="285"/>
      <c r="M23" s="286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5"/>
      <c r="D24" s="285"/>
      <c r="E24" s="285"/>
      <c r="F24" s="285"/>
      <c r="G24" s="285"/>
      <c r="H24" s="285"/>
      <c r="I24" s="285"/>
      <c r="J24" s="285"/>
      <c r="K24" s="285"/>
      <c r="L24" s="285"/>
      <c r="M24" s="286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5"/>
      <c r="D25" s="285"/>
      <c r="E25" s="285"/>
      <c r="F25" s="285"/>
      <c r="G25" s="285"/>
      <c r="H25" s="285"/>
      <c r="I25" s="285"/>
      <c r="J25" s="285"/>
      <c r="K25" s="285"/>
      <c r="L25" s="285"/>
      <c r="M25" s="286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5"/>
      <c r="D26" s="285"/>
      <c r="E26" s="285"/>
      <c r="F26" s="285"/>
      <c r="G26" s="285"/>
      <c r="H26" s="285"/>
      <c r="I26" s="285"/>
      <c r="J26" s="285"/>
      <c r="K26" s="285"/>
      <c r="L26" s="285"/>
      <c r="M26" s="286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5"/>
      <c r="D27" s="285"/>
      <c r="E27" s="285"/>
      <c r="F27" s="285"/>
      <c r="G27" s="285"/>
      <c r="H27" s="285"/>
      <c r="I27" s="285"/>
      <c r="J27" s="285"/>
      <c r="K27" s="285"/>
      <c r="L27" s="285"/>
      <c r="M27" s="286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5"/>
      <c r="D28" s="285"/>
      <c r="E28" s="285"/>
      <c r="F28" s="285"/>
      <c r="G28" s="285"/>
      <c r="H28" s="285"/>
      <c r="I28" s="285"/>
      <c r="J28" s="285"/>
      <c r="K28" s="285"/>
      <c r="L28" s="285"/>
      <c r="M28" s="286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5"/>
      <c r="D29" s="285"/>
      <c r="E29" s="285"/>
      <c r="F29" s="285"/>
      <c r="G29" s="285"/>
      <c r="H29" s="285"/>
      <c r="I29" s="285"/>
      <c r="J29" s="285"/>
      <c r="K29" s="285"/>
      <c r="L29" s="285"/>
      <c r="M29" s="286"/>
      <c r="N29" s="211"/>
      <c r="O29" s="211"/>
      <c r="P29" s="291"/>
      <c r="Q29" s="291"/>
      <c r="R29" s="291"/>
      <c r="S29" s="291"/>
      <c r="T29" s="291"/>
      <c r="U29" s="291"/>
      <c r="V29" s="291"/>
      <c r="W29" s="291"/>
      <c r="X29" s="291"/>
      <c r="Y29" s="291"/>
      <c r="Z29" s="291"/>
      <c r="AA29" s="207"/>
      <c r="AB29" s="207"/>
      <c r="AC29" s="290"/>
      <c r="AD29" s="290"/>
      <c r="AE29" s="290"/>
      <c r="AF29" s="290"/>
      <c r="AG29" s="290"/>
      <c r="AH29" s="290"/>
      <c r="AI29" s="290"/>
      <c r="AJ29" s="290"/>
      <c r="AK29" s="290"/>
      <c r="AL29" s="290"/>
      <c r="AM29" s="290"/>
      <c r="AN29" s="207"/>
      <c r="AO29" s="207"/>
      <c r="AP29" s="290"/>
      <c r="AQ29" s="290"/>
      <c r="AR29" s="290"/>
      <c r="AS29" s="290"/>
      <c r="AT29" s="290"/>
      <c r="AU29" s="290"/>
      <c r="AV29" s="290"/>
      <c r="AW29" s="290"/>
      <c r="AX29" s="290"/>
      <c r="AY29" s="290"/>
      <c r="AZ29" s="290"/>
      <c r="BA29" s="207"/>
      <c r="BB29" s="207"/>
      <c r="BC29" s="290"/>
      <c r="BD29" s="290"/>
      <c r="BE29" s="290"/>
      <c r="BF29" s="290"/>
      <c r="BG29" s="290"/>
      <c r="BH29" s="290"/>
      <c r="BI29" s="290"/>
      <c r="BJ29" s="290"/>
      <c r="BK29" s="290"/>
      <c r="BL29" s="290"/>
      <c r="BM29" s="290"/>
      <c r="BN29" s="207"/>
      <c r="BO29" s="207"/>
      <c r="BP29" s="290"/>
      <c r="BQ29" s="290"/>
      <c r="BR29" s="290"/>
      <c r="BS29" s="290"/>
      <c r="BT29" s="290"/>
      <c r="BU29" s="290"/>
      <c r="BV29" s="290"/>
      <c r="BW29" s="290"/>
      <c r="BX29" s="290"/>
      <c r="BY29" s="290"/>
      <c r="BZ29" s="290"/>
      <c r="CA29" s="207"/>
      <c r="CB29" s="207"/>
      <c r="CC29" s="290"/>
      <c r="CD29" s="290"/>
      <c r="CE29" s="290"/>
      <c r="CF29" s="290"/>
      <c r="CG29" s="290"/>
      <c r="CH29" s="290"/>
      <c r="CI29" s="290"/>
      <c r="CJ29" s="290"/>
      <c r="CK29" s="290"/>
      <c r="CL29" s="290"/>
      <c r="CM29" s="290"/>
      <c r="CN29" s="207"/>
      <c r="CO29" s="207"/>
      <c r="CP29" s="290"/>
      <c r="CQ29" s="290"/>
      <c r="CR29" s="290"/>
      <c r="CS29" s="290"/>
      <c r="CT29" s="290"/>
      <c r="CU29" s="290"/>
      <c r="CV29" s="290"/>
      <c r="CW29" s="290"/>
      <c r="CX29" s="290"/>
      <c r="CY29" s="290"/>
      <c r="CZ29" s="290"/>
      <c r="DA29" s="207"/>
      <c r="DB29" s="207"/>
      <c r="DC29" s="290"/>
      <c r="DD29" s="290"/>
      <c r="DE29" s="290"/>
      <c r="DF29" s="290"/>
      <c r="DG29" s="290"/>
      <c r="DH29" s="290"/>
      <c r="DI29" s="290"/>
      <c r="DJ29" s="290"/>
      <c r="DK29" s="290"/>
      <c r="DL29" s="290"/>
      <c r="DM29" s="290"/>
      <c r="DN29" s="207"/>
      <c r="DO29" s="207"/>
      <c r="DP29" s="290"/>
      <c r="DQ29" s="290"/>
      <c r="DR29" s="290"/>
      <c r="DS29" s="290"/>
      <c r="DT29" s="290"/>
      <c r="DU29" s="290"/>
      <c r="DV29" s="290"/>
      <c r="DW29" s="290"/>
      <c r="DX29" s="290"/>
      <c r="DY29" s="290"/>
      <c r="DZ29" s="290"/>
      <c r="EA29" s="207"/>
      <c r="EB29" s="207"/>
      <c r="EC29" s="290"/>
      <c r="ED29" s="290"/>
      <c r="EE29" s="290"/>
      <c r="EF29" s="290"/>
      <c r="EG29" s="290"/>
      <c r="EH29" s="290"/>
      <c r="EI29" s="290"/>
      <c r="EJ29" s="290"/>
      <c r="EK29" s="290"/>
      <c r="EL29" s="290"/>
      <c r="EM29" s="290"/>
      <c r="EN29" s="207"/>
      <c r="EO29" s="207"/>
      <c r="EP29" s="290"/>
      <c r="EQ29" s="290"/>
      <c r="ER29" s="290"/>
      <c r="ES29" s="290"/>
      <c r="ET29" s="290"/>
      <c r="EU29" s="290"/>
      <c r="EV29" s="290"/>
      <c r="EW29" s="290"/>
      <c r="EX29" s="290"/>
      <c r="EY29" s="290"/>
      <c r="EZ29" s="290"/>
      <c r="FA29" s="207"/>
      <c r="FB29" s="207"/>
      <c r="FC29" s="290"/>
      <c r="FD29" s="290"/>
      <c r="FE29" s="290"/>
      <c r="FF29" s="290"/>
      <c r="FG29" s="290"/>
      <c r="FH29" s="290"/>
      <c r="FI29" s="290"/>
      <c r="FJ29" s="290"/>
      <c r="FK29" s="290"/>
      <c r="FL29" s="290"/>
      <c r="FM29" s="290"/>
      <c r="FN29" s="207"/>
      <c r="FO29" s="207"/>
      <c r="FP29" s="290"/>
      <c r="FQ29" s="290"/>
      <c r="FR29" s="290"/>
      <c r="FS29" s="290"/>
      <c r="FT29" s="290"/>
      <c r="FU29" s="290"/>
      <c r="FV29" s="290"/>
      <c r="FW29" s="290"/>
      <c r="FX29" s="290"/>
      <c r="FY29" s="290"/>
      <c r="FZ29" s="290"/>
      <c r="GA29" s="207"/>
      <c r="GB29" s="207"/>
      <c r="GC29" s="290"/>
      <c r="GD29" s="290"/>
      <c r="GE29" s="290"/>
      <c r="GF29" s="290"/>
      <c r="GG29" s="290"/>
      <c r="GH29" s="290"/>
      <c r="GI29" s="290"/>
      <c r="GJ29" s="290"/>
      <c r="GK29" s="290"/>
      <c r="GL29" s="290"/>
      <c r="GM29" s="290"/>
      <c r="GN29" s="207"/>
      <c r="GO29" s="207"/>
      <c r="GP29" s="290"/>
      <c r="GQ29" s="290"/>
      <c r="GR29" s="290"/>
      <c r="GS29" s="290"/>
      <c r="GT29" s="290"/>
      <c r="GU29" s="290"/>
      <c r="GV29" s="290"/>
      <c r="GW29" s="290"/>
      <c r="GX29" s="290"/>
      <c r="GY29" s="290"/>
      <c r="GZ29" s="290"/>
      <c r="HA29" s="207"/>
      <c r="HB29" s="207"/>
      <c r="HC29" s="290"/>
      <c r="HD29" s="290"/>
      <c r="HE29" s="290"/>
      <c r="HF29" s="290"/>
      <c r="HG29" s="290"/>
      <c r="HH29" s="290"/>
      <c r="HI29" s="290"/>
      <c r="HJ29" s="290"/>
      <c r="HK29" s="290"/>
      <c r="HL29" s="290"/>
      <c r="HM29" s="290"/>
      <c r="HN29" s="207"/>
      <c r="HO29" s="207"/>
      <c r="HP29" s="290"/>
      <c r="HQ29" s="290"/>
      <c r="HR29" s="290"/>
      <c r="HS29" s="290"/>
      <c r="HT29" s="290"/>
      <c r="HU29" s="290"/>
      <c r="HV29" s="290"/>
      <c r="HW29" s="290"/>
      <c r="HX29" s="290"/>
      <c r="HY29" s="290"/>
      <c r="HZ29" s="290"/>
      <c r="IA29" s="207"/>
      <c r="IB29" s="207"/>
      <c r="IC29" s="290"/>
      <c r="ID29" s="290"/>
      <c r="IE29" s="290"/>
      <c r="IF29" s="290"/>
      <c r="IG29" s="290"/>
      <c r="IH29" s="290"/>
      <c r="II29" s="290"/>
      <c r="IJ29" s="290"/>
      <c r="IK29" s="290"/>
      <c r="IL29" s="290"/>
      <c r="IM29" s="290"/>
      <c r="IN29" s="207"/>
      <c r="IO29" s="207"/>
      <c r="IP29" s="290"/>
      <c r="IQ29" s="290"/>
      <c r="IR29" s="290"/>
      <c r="IS29" s="290"/>
      <c r="IT29" s="290"/>
      <c r="IU29" s="290"/>
      <c r="IV29" s="290"/>
    </row>
    <row r="30" spans="1:256" x14ac:dyDescent="0.2">
      <c r="A30" s="218"/>
      <c r="B30" s="219"/>
      <c r="C30" s="285"/>
      <c r="D30" s="285"/>
      <c r="E30" s="285"/>
      <c r="F30" s="285"/>
      <c r="G30" s="285"/>
      <c r="H30" s="285"/>
      <c r="I30" s="285"/>
      <c r="J30" s="285"/>
      <c r="K30" s="285"/>
      <c r="L30" s="285"/>
      <c r="M30" s="286"/>
      <c r="N30" s="211"/>
      <c r="O30" s="211"/>
      <c r="P30" s="291"/>
      <c r="Q30" s="291"/>
      <c r="R30" s="291"/>
      <c r="S30" s="291"/>
      <c r="T30" s="291"/>
      <c r="U30" s="291"/>
      <c r="V30" s="291"/>
      <c r="W30" s="291"/>
      <c r="X30" s="291"/>
      <c r="Y30" s="291"/>
      <c r="Z30" s="291"/>
      <c r="AA30" s="207"/>
      <c r="AB30" s="207"/>
      <c r="AC30" s="290"/>
      <c r="AD30" s="290"/>
      <c r="AE30" s="290"/>
      <c r="AF30" s="290"/>
      <c r="AG30" s="290"/>
      <c r="AH30" s="290"/>
      <c r="AI30" s="290"/>
      <c r="AJ30" s="290"/>
      <c r="AK30" s="290"/>
      <c r="AL30" s="290"/>
      <c r="AM30" s="290"/>
      <c r="AN30" s="207"/>
      <c r="AO30" s="207"/>
      <c r="AP30" s="290"/>
      <c r="AQ30" s="290"/>
      <c r="AR30" s="290"/>
      <c r="AS30" s="290"/>
      <c r="AT30" s="290"/>
      <c r="AU30" s="290"/>
      <c r="AV30" s="290"/>
      <c r="AW30" s="290"/>
      <c r="AX30" s="290"/>
      <c r="AY30" s="290"/>
      <c r="AZ30" s="290"/>
      <c r="BA30" s="207"/>
      <c r="BB30" s="207"/>
      <c r="BC30" s="290"/>
      <c r="BD30" s="290"/>
      <c r="BE30" s="290"/>
      <c r="BF30" s="290"/>
      <c r="BG30" s="290"/>
      <c r="BH30" s="290"/>
      <c r="BI30" s="290"/>
      <c r="BJ30" s="290"/>
      <c r="BK30" s="290"/>
      <c r="BL30" s="290"/>
      <c r="BM30" s="290"/>
      <c r="BN30" s="207"/>
      <c r="BO30" s="207"/>
      <c r="BP30" s="290"/>
      <c r="BQ30" s="290"/>
      <c r="BR30" s="290"/>
      <c r="BS30" s="290"/>
      <c r="BT30" s="290"/>
      <c r="BU30" s="290"/>
      <c r="BV30" s="290"/>
      <c r="BW30" s="290"/>
      <c r="BX30" s="290"/>
      <c r="BY30" s="290"/>
      <c r="BZ30" s="290"/>
      <c r="CA30" s="207"/>
      <c r="CB30" s="207"/>
      <c r="CC30" s="290"/>
      <c r="CD30" s="290"/>
      <c r="CE30" s="290"/>
      <c r="CF30" s="290"/>
      <c r="CG30" s="290"/>
      <c r="CH30" s="290"/>
      <c r="CI30" s="290"/>
      <c r="CJ30" s="290"/>
      <c r="CK30" s="290"/>
      <c r="CL30" s="290"/>
      <c r="CM30" s="290"/>
      <c r="CN30" s="207"/>
      <c r="CO30" s="207"/>
      <c r="CP30" s="290"/>
      <c r="CQ30" s="290"/>
      <c r="CR30" s="290"/>
      <c r="CS30" s="290"/>
      <c r="CT30" s="290"/>
      <c r="CU30" s="290"/>
      <c r="CV30" s="290"/>
      <c r="CW30" s="290"/>
      <c r="CX30" s="290"/>
      <c r="CY30" s="290"/>
      <c r="CZ30" s="290"/>
      <c r="DA30" s="207"/>
      <c r="DB30" s="207"/>
      <c r="DC30" s="290"/>
      <c r="DD30" s="290"/>
      <c r="DE30" s="290"/>
      <c r="DF30" s="290"/>
      <c r="DG30" s="290"/>
      <c r="DH30" s="290"/>
      <c r="DI30" s="290"/>
      <c r="DJ30" s="290"/>
      <c r="DK30" s="290"/>
      <c r="DL30" s="290"/>
      <c r="DM30" s="290"/>
      <c r="DN30" s="207"/>
      <c r="DO30" s="207"/>
      <c r="DP30" s="290"/>
      <c r="DQ30" s="290"/>
      <c r="DR30" s="290"/>
      <c r="DS30" s="290"/>
      <c r="DT30" s="290"/>
      <c r="DU30" s="290"/>
      <c r="DV30" s="290"/>
      <c r="DW30" s="290"/>
      <c r="DX30" s="290"/>
      <c r="DY30" s="290"/>
      <c r="DZ30" s="290"/>
      <c r="EA30" s="207"/>
      <c r="EB30" s="207"/>
      <c r="EC30" s="290"/>
      <c r="ED30" s="290"/>
      <c r="EE30" s="290"/>
      <c r="EF30" s="290"/>
      <c r="EG30" s="290"/>
      <c r="EH30" s="290"/>
      <c r="EI30" s="290"/>
      <c r="EJ30" s="290"/>
      <c r="EK30" s="290"/>
      <c r="EL30" s="290"/>
      <c r="EM30" s="290"/>
      <c r="EN30" s="207"/>
      <c r="EO30" s="207"/>
      <c r="EP30" s="290"/>
      <c r="EQ30" s="290"/>
      <c r="ER30" s="290"/>
      <c r="ES30" s="290"/>
      <c r="ET30" s="290"/>
      <c r="EU30" s="290"/>
      <c r="EV30" s="290"/>
      <c r="EW30" s="290"/>
      <c r="EX30" s="290"/>
      <c r="EY30" s="290"/>
      <c r="EZ30" s="290"/>
      <c r="FA30" s="207"/>
      <c r="FB30" s="207"/>
      <c r="FC30" s="290"/>
      <c r="FD30" s="290"/>
      <c r="FE30" s="290"/>
      <c r="FF30" s="290"/>
      <c r="FG30" s="290"/>
      <c r="FH30" s="290"/>
      <c r="FI30" s="290"/>
      <c r="FJ30" s="290"/>
      <c r="FK30" s="290"/>
      <c r="FL30" s="290"/>
      <c r="FM30" s="290"/>
      <c r="FN30" s="207"/>
      <c r="FO30" s="207"/>
      <c r="FP30" s="290"/>
      <c r="FQ30" s="290"/>
      <c r="FR30" s="290"/>
      <c r="FS30" s="290"/>
      <c r="FT30" s="290"/>
      <c r="FU30" s="290"/>
      <c r="FV30" s="290"/>
      <c r="FW30" s="290"/>
      <c r="FX30" s="290"/>
      <c r="FY30" s="290"/>
      <c r="FZ30" s="290"/>
      <c r="GA30" s="207"/>
      <c r="GB30" s="207"/>
      <c r="GC30" s="290"/>
      <c r="GD30" s="290"/>
      <c r="GE30" s="290"/>
      <c r="GF30" s="290"/>
      <c r="GG30" s="290"/>
      <c r="GH30" s="290"/>
      <c r="GI30" s="290"/>
      <c r="GJ30" s="290"/>
      <c r="GK30" s="290"/>
      <c r="GL30" s="290"/>
      <c r="GM30" s="290"/>
      <c r="GN30" s="207"/>
      <c r="GO30" s="207"/>
      <c r="GP30" s="290"/>
      <c r="GQ30" s="290"/>
      <c r="GR30" s="290"/>
      <c r="GS30" s="290"/>
      <c r="GT30" s="290"/>
      <c r="GU30" s="290"/>
      <c r="GV30" s="290"/>
      <c r="GW30" s="290"/>
      <c r="GX30" s="290"/>
      <c r="GY30" s="290"/>
      <c r="GZ30" s="290"/>
      <c r="HA30" s="207"/>
      <c r="HB30" s="207"/>
      <c r="HC30" s="290"/>
      <c r="HD30" s="290"/>
      <c r="HE30" s="290"/>
      <c r="HF30" s="290"/>
      <c r="HG30" s="290"/>
      <c r="HH30" s="290"/>
      <c r="HI30" s="290"/>
      <c r="HJ30" s="290"/>
      <c r="HK30" s="290"/>
      <c r="HL30" s="290"/>
      <c r="HM30" s="290"/>
      <c r="HN30" s="207"/>
      <c r="HO30" s="207"/>
      <c r="HP30" s="290"/>
      <c r="HQ30" s="290"/>
      <c r="HR30" s="290"/>
      <c r="HS30" s="290"/>
      <c r="HT30" s="290"/>
      <c r="HU30" s="290"/>
      <c r="HV30" s="290"/>
      <c r="HW30" s="290"/>
      <c r="HX30" s="290"/>
      <c r="HY30" s="290"/>
      <c r="HZ30" s="290"/>
      <c r="IA30" s="207"/>
      <c r="IB30" s="207"/>
      <c r="IC30" s="290"/>
      <c r="ID30" s="290"/>
      <c r="IE30" s="290"/>
      <c r="IF30" s="290"/>
      <c r="IG30" s="290"/>
      <c r="IH30" s="290"/>
      <c r="II30" s="290"/>
      <c r="IJ30" s="290"/>
      <c r="IK30" s="290"/>
      <c r="IL30" s="290"/>
      <c r="IM30" s="290"/>
      <c r="IN30" s="207"/>
      <c r="IO30" s="207"/>
      <c r="IP30" s="290"/>
      <c r="IQ30" s="290"/>
      <c r="IR30" s="290"/>
      <c r="IS30" s="290"/>
      <c r="IT30" s="290"/>
      <c r="IU30" s="290"/>
      <c r="IV30" s="290"/>
    </row>
    <row r="31" spans="1:256" x14ac:dyDescent="0.2">
      <c r="A31" s="218"/>
      <c r="B31" s="219"/>
      <c r="C31" s="285"/>
      <c r="D31" s="285"/>
      <c r="E31" s="285"/>
      <c r="F31" s="285"/>
      <c r="G31" s="285"/>
      <c r="H31" s="285"/>
      <c r="I31" s="285"/>
      <c r="J31" s="285"/>
      <c r="K31" s="285"/>
      <c r="L31" s="285"/>
      <c r="M31" s="286"/>
      <c r="N31" s="211"/>
      <c r="O31" s="211"/>
      <c r="P31" s="291"/>
      <c r="Q31" s="291"/>
      <c r="R31" s="291"/>
      <c r="S31" s="291"/>
      <c r="T31" s="291"/>
      <c r="U31" s="291"/>
      <c r="V31" s="291"/>
      <c r="W31" s="291"/>
      <c r="X31" s="291"/>
      <c r="Y31" s="291"/>
      <c r="Z31" s="291"/>
      <c r="AA31" s="207"/>
      <c r="AB31" s="207"/>
      <c r="AC31" s="290"/>
      <c r="AD31" s="290"/>
      <c r="AE31" s="290"/>
      <c r="AF31" s="290"/>
      <c r="AG31" s="290"/>
      <c r="AH31" s="290"/>
      <c r="AI31" s="290"/>
      <c r="AJ31" s="290"/>
      <c r="AK31" s="290"/>
      <c r="AL31" s="290"/>
      <c r="AM31" s="290"/>
      <c r="AN31" s="207"/>
      <c r="AO31" s="207"/>
      <c r="AP31" s="290"/>
      <c r="AQ31" s="290"/>
      <c r="AR31" s="290"/>
      <c r="AS31" s="290"/>
      <c r="AT31" s="290"/>
      <c r="AU31" s="290"/>
      <c r="AV31" s="290"/>
      <c r="AW31" s="290"/>
      <c r="AX31" s="290"/>
      <c r="AY31" s="290"/>
      <c r="AZ31" s="290"/>
      <c r="BA31" s="207"/>
      <c r="BB31" s="207"/>
      <c r="BC31" s="290"/>
      <c r="BD31" s="290"/>
      <c r="BE31" s="290"/>
      <c r="BF31" s="290"/>
      <c r="BG31" s="290"/>
      <c r="BH31" s="290"/>
      <c r="BI31" s="290"/>
      <c r="BJ31" s="290"/>
      <c r="BK31" s="290"/>
      <c r="BL31" s="290"/>
      <c r="BM31" s="290"/>
      <c r="BN31" s="207"/>
      <c r="BO31" s="207"/>
      <c r="BP31" s="290"/>
      <c r="BQ31" s="290"/>
      <c r="BR31" s="290"/>
      <c r="BS31" s="290"/>
      <c r="BT31" s="290"/>
      <c r="BU31" s="290"/>
      <c r="BV31" s="290"/>
      <c r="BW31" s="290"/>
      <c r="BX31" s="290"/>
      <c r="BY31" s="290"/>
      <c r="BZ31" s="290"/>
      <c r="CA31" s="207"/>
      <c r="CB31" s="207"/>
      <c r="CC31" s="290"/>
      <c r="CD31" s="290"/>
      <c r="CE31" s="290"/>
      <c r="CF31" s="290"/>
      <c r="CG31" s="290"/>
      <c r="CH31" s="290"/>
      <c r="CI31" s="290"/>
      <c r="CJ31" s="290"/>
      <c r="CK31" s="290"/>
      <c r="CL31" s="290"/>
      <c r="CM31" s="290"/>
      <c r="CN31" s="207"/>
      <c r="CO31" s="207"/>
      <c r="CP31" s="290"/>
      <c r="CQ31" s="290"/>
      <c r="CR31" s="290"/>
      <c r="CS31" s="290"/>
      <c r="CT31" s="290"/>
      <c r="CU31" s="290"/>
      <c r="CV31" s="290"/>
      <c r="CW31" s="290"/>
      <c r="CX31" s="290"/>
      <c r="CY31" s="290"/>
      <c r="CZ31" s="290"/>
      <c r="DA31" s="207"/>
      <c r="DB31" s="207"/>
      <c r="DC31" s="290"/>
      <c r="DD31" s="290"/>
      <c r="DE31" s="290"/>
      <c r="DF31" s="290"/>
      <c r="DG31" s="290"/>
      <c r="DH31" s="290"/>
      <c r="DI31" s="290"/>
      <c r="DJ31" s="290"/>
      <c r="DK31" s="290"/>
      <c r="DL31" s="290"/>
      <c r="DM31" s="290"/>
      <c r="DN31" s="207"/>
      <c r="DO31" s="207"/>
      <c r="DP31" s="290"/>
      <c r="DQ31" s="290"/>
      <c r="DR31" s="290"/>
      <c r="DS31" s="290"/>
      <c r="DT31" s="290"/>
      <c r="DU31" s="290"/>
      <c r="DV31" s="290"/>
      <c r="DW31" s="290"/>
      <c r="DX31" s="290"/>
      <c r="DY31" s="290"/>
      <c r="DZ31" s="290"/>
      <c r="EA31" s="207"/>
      <c r="EB31" s="207"/>
      <c r="EC31" s="290"/>
      <c r="ED31" s="290"/>
      <c r="EE31" s="290"/>
      <c r="EF31" s="290"/>
      <c r="EG31" s="290"/>
      <c r="EH31" s="290"/>
      <c r="EI31" s="290"/>
      <c r="EJ31" s="290"/>
      <c r="EK31" s="290"/>
      <c r="EL31" s="290"/>
      <c r="EM31" s="290"/>
      <c r="EN31" s="207"/>
      <c r="EO31" s="207"/>
      <c r="EP31" s="290"/>
      <c r="EQ31" s="290"/>
      <c r="ER31" s="290"/>
      <c r="ES31" s="290"/>
      <c r="ET31" s="290"/>
      <c r="EU31" s="290"/>
      <c r="EV31" s="290"/>
      <c r="EW31" s="290"/>
      <c r="EX31" s="290"/>
      <c r="EY31" s="290"/>
      <c r="EZ31" s="290"/>
      <c r="FA31" s="207"/>
      <c r="FB31" s="207"/>
      <c r="FC31" s="290"/>
      <c r="FD31" s="290"/>
      <c r="FE31" s="290"/>
      <c r="FF31" s="290"/>
      <c r="FG31" s="290"/>
      <c r="FH31" s="290"/>
      <c r="FI31" s="290"/>
      <c r="FJ31" s="290"/>
      <c r="FK31" s="290"/>
      <c r="FL31" s="290"/>
      <c r="FM31" s="290"/>
      <c r="FN31" s="207"/>
      <c r="FO31" s="207"/>
      <c r="FP31" s="290"/>
      <c r="FQ31" s="290"/>
      <c r="FR31" s="290"/>
      <c r="FS31" s="290"/>
      <c r="FT31" s="290"/>
      <c r="FU31" s="290"/>
      <c r="FV31" s="290"/>
      <c r="FW31" s="290"/>
      <c r="FX31" s="290"/>
      <c r="FY31" s="290"/>
      <c r="FZ31" s="290"/>
      <c r="GA31" s="207"/>
      <c r="GB31" s="207"/>
      <c r="GC31" s="290"/>
      <c r="GD31" s="290"/>
      <c r="GE31" s="290"/>
      <c r="GF31" s="290"/>
      <c r="GG31" s="290"/>
      <c r="GH31" s="290"/>
      <c r="GI31" s="290"/>
      <c r="GJ31" s="290"/>
      <c r="GK31" s="290"/>
      <c r="GL31" s="290"/>
      <c r="GM31" s="290"/>
      <c r="GN31" s="207"/>
      <c r="GO31" s="207"/>
      <c r="GP31" s="290"/>
      <c r="GQ31" s="290"/>
      <c r="GR31" s="290"/>
      <c r="GS31" s="290"/>
      <c r="GT31" s="290"/>
      <c r="GU31" s="290"/>
      <c r="GV31" s="290"/>
      <c r="GW31" s="290"/>
      <c r="GX31" s="290"/>
      <c r="GY31" s="290"/>
      <c r="GZ31" s="290"/>
      <c r="HA31" s="207"/>
      <c r="HB31" s="207"/>
      <c r="HC31" s="290"/>
      <c r="HD31" s="290"/>
      <c r="HE31" s="290"/>
      <c r="HF31" s="290"/>
      <c r="HG31" s="290"/>
      <c r="HH31" s="290"/>
      <c r="HI31" s="290"/>
      <c r="HJ31" s="290"/>
      <c r="HK31" s="290"/>
      <c r="HL31" s="290"/>
      <c r="HM31" s="290"/>
      <c r="HN31" s="207"/>
      <c r="HO31" s="207"/>
      <c r="HP31" s="290"/>
      <c r="HQ31" s="290"/>
      <c r="HR31" s="290"/>
      <c r="HS31" s="290"/>
      <c r="HT31" s="290"/>
      <c r="HU31" s="290"/>
      <c r="HV31" s="290"/>
      <c r="HW31" s="290"/>
      <c r="HX31" s="290"/>
      <c r="HY31" s="290"/>
      <c r="HZ31" s="290"/>
      <c r="IA31" s="207"/>
      <c r="IB31" s="207"/>
      <c r="IC31" s="290"/>
      <c r="ID31" s="290"/>
      <c r="IE31" s="290"/>
      <c r="IF31" s="290"/>
      <c r="IG31" s="290"/>
      <c r="IH31" s="290"/>
      <c r="II31" s="290"/>
      <c r="IJ31" s="290"/>
      <c r="IK31" s="290"/>
      <c r="IL31" s="290"/>
      <c r="IM31" s="290"/>
      <c r="IN31" s="207"/>
      <c r="IO31" s="207"/>
      <c r="IP31" s="290"/>
      <c r="IQ31" s="290"/>
      <c r="IR31" s="290"/>
      <c r="IS31" s="290"/>
      <c r="IT31" s="290"/>
      <c r="IU31" s="290"/>
      <c r="IV31" s="290"/>
    </row>
    <row r="32" spans="1:256" x14ac:dyDescent="0.2">
      <c r="A32" s="218"/>
      <c r="B32" s="219"/>
      <c r="C32" s="285"/>
      <c r="D32" s="285"/>
      <c r="E32" s="285"/>
      <c r="F32" s="285"/>
      <c r="G32" s="285"/>
      <c r="H32" s="285"/>
      <c r="I32" s="285"/>
      <c r="J32" s="285"/>
      <c r="K32" s="285"/>
      <c r="L32" s="285"/>
      <c r="M32" s="286"/>
      <c r="N32" s="223"/>
      <c r="O32" s="223"/>
      <c r="P32" s="292"/>
      <c r="Q32" s="292"/>
      <c r="R32" s="292"/>
      <c r="S32" s="292"/>
      <c r="T32" s="292"/>
      <c r="U32" s="292"/>
      <c r="V32" s="292"/>
      <c r="W32" s="292"/>
      <c r="X32" s="292"/>
      <c r="Y32" s="292"/>
      <c r="Z32" s="293"/>
      <c r="AA32" s="218"/>
      <c r="AB32" s="219"/>
      <c r="AC32" s="285"/>
      <c r="AD32" s="285"/>
      <c r="AE32" s="285"/>
      <c r="AF32" s="285"/>
      <c r="AG32" s="285"/>
      <c r="AH32" s="285"/>
      <c r="AI32" s="285"/>
      <c r="AJ32" s="285"/>
      <c r="AK32" s="285"/>
      <c r="AL32" s="285"/>
      <c r="AM32" s="286"/>
      <c r="AN32" s="218"/>
      <c r="AO32" s="219"/>
      <c r="AP32" s="285"/>
      <c r="AQ32" s="285"/>
      <c r="AR32" s="285"/>
      <c r="AS32" s="285"/>
      <c r="AT32" s="285"/>
      <c r="AU32" s="285"/>
      <c r="AV32" s="285"/>
      <c r="AW32" s="285"/>
      <c r="AX32" s="285"/>
      <c r="AY32" s="285"/>
      <c r="AZ32" s="286"/>
      <c r="BA32" s="218"/>
      <c r="BB32" s="219"/>
      <c r="BC32" s="285"/>
      <c r="BD32" s="285"/>
      <c r="BE32" s="285"/>
      <c r="BF32" s="285"/>
      <c r="BG32" s="285"/>
      <c r="BH32" s="285"/>
      <c r="BI32" s="285"/>
      <c r="BJ32" s="285"/>
      <c r="BK32" s="285"/>
      <c r="BL32" s="285"/>
      <c r="BM32" s="286"/>
      <c r="BN32" s="218"/>
      <c r="BO32" s="219"/>
      <c r="BP32" s="285"/>
      <c r="BQ32" s="285"/>
      <c r="BR32" s="285"/>
      <c r="BS32" s="285"/>
      <c r="BT32" s="285"/>
      <c r="BU32" s="285"/>
      <c r="BV32" s="285"/>
      <c r="BW32" s="285"/>
      <c r="BX32" s="285"/>
      <c r="BY32" s="285"/>
      <c r="BZ32" s="286"/>
      <c r="CA32" s="218"/>
      <c r="CB32" s="219"/>
      <c r="CC32" s="285"/>
      <c r="CD32" s="285"/>
      <c r="CE32" s="285"/>
      <c r="CF32" s="285"/>
      <c r="CG32" s="285"/>
      <c r="CH32" s="285"/>
      <c r="CI32" s="285"/>
      <c r="CJ32" s="285"/>
      <c r="CK32" s="285"/>
      <c r="CL32" s="285"/>
      <c r="CM32" s="286"/>
      <c r="CN32" s="218"/>
      <c r="CO32" s="219"/>
      <c r="CP32" s="285"/>
      <c r="CQ32" s="285"/>
      <c r="CR32" s="285"/>
      <c r="CS32" s="285"/>
      <c r="CT32" s="285"/>
      <c r="CU32" s="285"/>
      <c r="CV32" s="285"/>
      <c r="CW32" s="285"/>
      <c r="CX32" s="285"/>
      <c r="CY32" s="285"/>
      <c r="CZ32" s="286"/>
      <c r="DA32" s="218"/>
      <c r="DB32" s="219"/>
      <c r="DC32" s="285"/>
      <c r="DD32" s="285"/>
      <c r="DE32" s="285"/>
      <c r="DF32" s="285"/>
      <c r="DG32" s="285"/>
      <c r="DH32" s="285"/>
      <c r="DI32" s="285"/>
      <c r="DJ32" s="285"/>
      <c r="DK32" s="285"/>
      <c r="DL32" s="285"/>
      <c r="DM32" s="286"/>
      <c r="DN32" s="218"/>
      <c r="DO32" s="219"/>
      <c r="DP32" s="285"/>
      <c r="DQ32" s="285"/>
      <c r="DR32" s="285"/>
      <c r="DS32" s="285"/>
      <c r="DT32" s="285"/>
      <c r="DU32" s="285"/>
      <c r="DV32" s="285"/>
      <c r="DW32" s="285"/>
      <c r="DX32" s="285"/>
      <c r="DY32" s="285"/>
      <c r="DZ32" s="286"/>
      <c r="EA32" s="218"/>
      <c r="EB32" s="219"/>
      <c r="EC32" s="285"/>
      <c r="ED32" s="285"/>
      <c r="EE32" s="285"/>
      <c r="EF32" s="285"/>
      <c r="EG32" s="285"/>
      <c r="EH32" s="285"/>
      <c r="EI32" s="285"/>
      <c r="EJ32" s="285"/>
      <c r="EK32" s="285"/>
      <c r="EL32" s="285"/>
      <c r="EM32" s="286"/>
      <c r="EN32" s="218"/>
      <c r="EO32" s="219"/>
      <c r="EP32" s="285"/>
      <c r="EQ32" s="285"/>
      <c r="ER32" s="285"/>
      <c r="ES32" s="285"/>
      <c r="ET32" s="285"/>
      <c r="EU32" s="285"/>
      <c r="EV32" s="285"/>
      <c r="EW32" s="285"/>
      <c r="EX32" s="285"/>
      <c r="EY32" s="285"/>
      <c r="EZ32" s="286"/>
      <c r="FA32" s="218"/>
      <c r="FB32" s="219"/>
      <c r="FC32" s="285"/>
      <c r="FD32" s="285"/>
      <c r="FE32" s="285"/>
      <c r="FF32" s="285"/>
      <c r="FG32" s="285"/>
      <c r="FH32" s="285"/>
      <c r="FI32" s="285"/>
      <c r="FJ32" s="285"/>
      <c r="FK32" s="285"/>
      <c r="FL32" s="285"/>
      <c r="FM32" s="286"/>
      <c r="FN32" s="218"/>
      <c r="FO32" s="219"/>
      <c r="FP32" s="285"/>
      <c r="FQ32" s="285"/>
      <c r="FR32" s="285"/>
      <c r="FS32" s="285"/>
      <c r="FT32" s="285"/>
      <c r="FU32" s="285"/>
      <c r="FV32" s="285"/>
      <c r="FW32" s="285"/>
      <c r="FX32" s="285"/>
      <c r="FY32" s="285"/>
      <c r="FZ32" s="286"/>
      <c r="GA32" s="218"/>
      <c r="GB32" s="219"/>
      <c r="GC32" s="285"/>
      <c r="GD32" s="285"/>
      <c r="GE32" s="285"/>
      <c r="GF32" s="285"/>
      <c r="GG32" s="285"/>
      <c r="GH32" s="285"/>
      <c r="GI32" s="285"/>
      <c r="GJ32" s="285"/>
      <c r="GK32" s="285"/>
      <c r="GL32" s="285"/>
      <c r="GM32" s="286"/>
      <c r="GN32" s="218"/>
      <c r="GO32" s="219"/>
      <c r="GP32" s="285"/>
      <c r="GQ32" s="285"/>
      <c r="GR32" s="285"/>
      <c r="GS32" s="285"/>
      <c r="GT32" s="285"/>
      <c r="GU32" s="285"/>
      <c r="GV32" s="285"/>
      <c r="GW32" s="285"/>
      <c r="GX32" s="285"/>
      <c r="GY32" s="285"/>
      <c r="GZ32" s="286"/>
      <c r="HA32" s="218"/>
      <c r="HB32" s="219"/>
      <c r="HC32" s="285"/>
      <c r="HD32" s="285"/>
      <c r="HE32" s="285"/>
      <c r="HF32" s="285"/>
      <c r="HG32" s="285"/>
      <c r="HH32" s="285"/>
      <c r="HI32" s="285"/>
      <c r="HJ32" s="285"/>
      <c r="HK32" s="285"/>
      <c r="HL32" s="285"/>
      <c r="HM32" s="286"/>
      <c r="HN32" s="218"/>
      <c r="HO32" s="219"/>
      <c r="HP32" s="285"/>
      <c r="HQ32" s="285"/>
      <c r="HR32" s="285"/>
      <c r="HS32" s="285"/>
      <c r="HT32" s="285"/>
      <c r="HU32" s="285"/>
      <c r="HV32" s="285"/>
      <c r="HW32" s="285"/>
      <c r="HX32" s="285"/>
      <c r="HY32" s="285"/>
      <c r="HZ32" s="286"/>
      <c r="IA32" s="218"/>
      <c r="IB32" s="219"/>
      <c r="IC32" s="285"/>
      <c r="ID32" s="285"/>
      <c r="IE32" s="285"/>
      <c r="IF32" s="285"/>
      <c r="IG32" s="285"/>
      <c r="IH32" s="285"/>
      <c r="II32" s="285"/>
      <c r="IJ32" s="285"/>
      <c r="IK32" s="285"/>
      <c r="IL32" s="285"/>
      <c r="IM32" s="286"/>
      <c r="IN32" s="218"/>
      <c r="IO32" s="219"/>
      <c r="IP32" s="285"/>
      <c r="IQ32" s="285"/>
      <c r="IR32" s="285"/>
      <c r="IS32" s="285"/>
      <c r="IT32" s="285"/>
      <c r="IU32" s="285"/>
      <c r="IV32" s="285"/>
    </row>
    <row r="33" spans="1:256" x14ac:dyDescent="0.2">
      <c r="A33" s="218"/>
      <c r="B33" s="219"/>
      <c r="C33" s="285"/>
      <c r="D33" s="285"/>
      <c r="E33" s="285"/>
      <c r="F33" s="285"/>
      <c r="G33" s="285"/>
      <c r="H33" s="285"/>
      <c r="I33" s="285"/>
      <c r="J33" s="285"/>
      <c r="K33" s="285"/>
      <c r="L33" s="285"/>
      <c r="M33" s="286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5"/>
      <c r="D34" s="285"/>
      <c r="E34" s="285"/>
      <c r="F34" s="285"/>
      <c r="G34" s="285"/>
      <c r="H34" s="285"/>
      <c r="I34" s="285"/>
      <c r="J34" s="285"/>
      <c r="K34" s="285"/>
      <c r="L34" s="285"/>
      <c r="M34" s="286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5"/>
      <c r="D35" s="285"/>
      <c r="E35" s="285"/>
      <c r="F35" s="285"/>
      <c r="G35" s="285"/>
      <c r="H35" s="285"/>
      <c r="I35" s="285"/>
      <c r="J35" s="285"/>
      <c r="K35" s="285"/>
      <c r="L35" s="285"/>
      <c r="M35" s="286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5"/>
      <c r="D36" s="285"/>
      <c r="E36" s="285"/>
      <c r="F36" s="285"/>
      <c r="G36" s="285"/>
      <c r="H36" s="285"/>
      <c r="I36" s="285"/>
      <c r="J36" s="285"/>
      <c r="K36" s="285"/>
      <c r="L36" s="285"/>
      <c r="M36" s="286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5"/>
      <c r="D37" s="285"/>
      <c r="E37" s="285"/>
      <c r="F37" s="285"/>
      <c r="G37" s="285"/>
      <c r="H37" s="285"/>
      <c r="I37" s="285"/>
      <c r="J37" s="285"/>
      <c r="K37" s="285"/>
      <c r="L37" s="285"/>
      <c r="M37" s="286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5"/>
      <c r="D38" s="285"/>
      <c r="E38" s="285"/>
      <c r="F38" s="285"/>
      <c r="G38" s="285"/>
      <c r="H38" s="285"/>
      <c r="I38" s="285"/>
      <c r="J38" s="285"/>
      <c r="K38" s="285"/>
      <c r="L38" s="285"/>
      <c r="M38" s="286"/>
      <c r="N38" s="211"/>
      <c r="O38" s="211"/>
      <c r="P38" s="291"/>
      <c r="Q38" s="291"/>
      <c r="R38" s="291"/>
      <c r="S38" s="291"/>
      <c r="T38" s="291"/>
      <c r="U38" s="291"/>
      <c r="V38" s="291"/>
      <c r="W38" s="291"/>
      <c r="X38" s="291"/>
      <c r="Y38" s="291"/>
      <c r="Z38" s="291"/>
      <c r="AA38" s="207"/>
      <c r="AB38" s="207"/>
      <c r="AC38" s="290"/>
      <c r="AD38" s="290"/>
      <c r="AE38" s="290"/>
      <c r="AF38" s="290"/>
      <c r="AG38" s="290"/>
      <c r="AH38" s="290"/>
      <c r="AI38" s="290"/>
      <c r="AJ38" s="290"/>
      <c r="AK38" s="290"/>
      <c r="AL38" s="290"/>
      <c r="AM38" s="290"/>
      <c r="AN38" s="207"/>
      <c r="AO38" s="207"/>
      <c r="AP38" s="290"/>
      <c r="AQ38" s="290"/>
      <c r="AR38" s="290"/>
      <c r="AS38" s="290"/>
      <c r="AT38" s="290"/>
      <c r="AU38" s="290"/>
      <c r="AV38" s="290"/>
      <c r="AW38" s="290"/>
      <c r="AX38" s="290"/>
      <c r="AY38" s="290"/>
      <c r="AZ38" s="290"/>
      <c r="BA38" s="207"/>
      <c r="BB38" s="207"/>
      <c r="BC38" s="290"/>
      <c r="BD38" s="290"/>
      <c r="BE38" s="290"/>
      <c r="BF38" s="290"/>
      <c r="BG38" s="290"/>
      <c r="BH38" s="290"/>
      <c r="BI38" s="290"/>
      <c r="BJ38" s="290"/>
      <c r="BK38" s="290"/>
      <c r="BL38" s="290"/>
      <c r="BM38" s="290"/>
      <c r="BN38" s="207"/>
      <c r="BO38" s="207"/>
      <c r="BP38" s="290"/>
      <c r="BQ38" s="290"/>
      <c r="BR38" s="290"/>
      <c r="BS38" s="290"/>
      <c r="BT38" s="290"/>
      <c r="BU38" s="290"/>
      <c r="BV38" s="290"/>
      <c r="BW38" s="290"/>
      <c r="BX38" s="290"/>
      <c r="BY38" s="290"/>
      <c r="BZ38" s="290"/>
      <c r="CA38" s="207"/>
      <c r="CB38" s="207"/>
      <c r="CC38" s="290"/>
      <c r="CD38" s="290"/>
      <c r="CE38" s="290"/>
      <c r="CF38" s="290"/>
      <c r="CG38" s="290"/>
      <c r="CH38" s="290"/>
      <c r="CI38" s="290"/>
      <c r="CJ38" s="290"/>
      <c r="CK38" s="290"/>
      <c r="CL38" s="290"/>
      <c r="CM38" s="290"/>
      <c r="CN38" s="207"/>
      <c r="CO38" s="207"/>
      <c r="CP38" s="290"/>
      <c r="CQ38" s="290"/>
      <c r="CR38" s="290"/>
      <c r="CS38" s="290"/>
      <c r="CT38" s="290"/>
      <c r="CU38" s="290"/>
      <c r="CV38" s="290"/>
      <c r="CW38" s="290"/>
      <c r="CX38" s="290"/>
      <c r="CY38" s="290"/>
      <c r="CZ38" s="290"/>
      <c r="DA38" s="207"/>
      <c r="DB38" s="207"/>
      <c r="DC38" s="290"/>
      <c r="DD38" s="290"/>
      <c r="DE38" s="290"/>
      <c r="DF38" s="290"/>
      <c r="DG38" s="290"/>
      <c r="DH38" s="290"/>
      <c r="DI38" s="290"/>
      <c r="DJ38" s="290"/>
      <c r="DK38" s="290"/>
      <c r="DL38" s="290"/>
      <c r="DM38" s="290"/>
      <c r="DN38" s="207"/>
      <c r="DO38" s="207"/>
      <c r="DP38" s="290"/>
      <c r="DQ38" s="290"/>
      <c r="DR38" s="290"/>
      <c r="DS38" s="290"/>
      <c r="DT38" s="290"/>
      <c r="DU38" s="290"/>
      <c r="DV38" s="290"/>
      <c r="DW38" s="290"/>
      <c r="DX38" s="290"/>
      <c r="DY38" s="290"/>
      <c r="DZ38" s="290"/>
      <c r="EA38" s="207"/>
      <c r="EB38" s="207"/>
      <c r="EC38" s="290"/>
      <c r="ED38" s="290"/>
      <c r="EE38" s="290"/>
      <c r="EF38" s="290"/>
      <c r="EG38" s="290"/>
      <c r="EH38" s="290"/>
      <c r="EI38" s="290"/>
      <c r="EJ38" s="290"/>
      <c r="EK38" s="290"/>
      <c r="EL38" s="290"/>
      <c r="EM38" s="290"/>
      <c r="EN38" s="207"/>
      <c r="EO38" s="207"/>
      <c r="EP38" s="290"/>
      <c r="EQ38" s="290"/>
      <c r="ER38" s="290"/>
      <c r="ES38" s="290"/>
      <c r="ET38" s="290"/>
      <c r="EU38" s="290"/>
      <c r="EV38" s="290"/>
      <c r="EW38" s="290"/>
      <c r="EX38" s="290"/>
      <c r="EY38" s="290"/>
      <c r="EZ38" s="290"/>
      <c r="FA38" s="207"/>
      <c r="FB38" s="207"/>
      <c r="FC38" s="290"/>
      <c r="FD38" s="290"/>
      <c r="FE38" s="290"/>
      <c r="FF38" s="290"/>
      <c r="FG38" s="290"/>
      <c r="FH38" s="290"/>
      <c r="FI38" s="290"/>
      <c r="FJ38" s="290"/>
      <c r="FK38" s="290"/>
      <c r="FL38" s="290"/>
      <c r="FM38" s="290"/>
      <c r="FN38" s="207"/>
      <c r="FO38" s="207"/>
      <c r="FP38" s="290"/>
      <c r="FQ38" s="290"/>
      <c r="FR38" s="290"/>
      <c r="FS38" s="290"/>
      <c r="FT38" s="290"/>
      <c r="FU38" s="290"/>
      <c r="FV38" s="290"/>
      <c r="FW38" s="290"/>
      <c r="FX38" s="290"/>
      <c r="FY38" s="290"/>
      <c r="FZ38" s="290"/>
      <c r="GA38" s="207"/>
      <c r="GB38" s="207"/>
      <c r="GC38" s="290"/>
      <c r="GD38" s="290"/>
      <c r="GE38" s="290"/>
      <c r="GF38" s="290"/>
      <c r="GG38" s="290"/>
      <c r="GH38" s="290"/>
      <c r="GI38" s="290"/>
      <c r="GJ38" s="290"/>
      <c r="GK38" s="290"/>
      <c r="GL38" s="290"/>
      <c r="GM38" s="290"/>
      <c r="GN38" s="207"/>
      <c r="GO38" s="207"/>
      <c r="GP38" s="290"/>
      <c r="GQ38" s="290"/>
      <c r="GR38" s="290"/>
      <c r="GS38" s="290"/>
      <c r="GT38" s="290"/>
      <c r="GU38" s="290"/>
      <c r="GV38" s="290"/>
      <c r="GW38" s="290"/>
      <c r="GX38" s="290"/>
      <c r="GY38" s="290"/>
      <c r="GZ38" s="290"/>
      <c r="HA38" s="207"/>
      <c r="HB38" s="207"/>
      <c r="HC38" s="290"/>
      <c r="HD38" s="290"/>
      <c r="HE38" s="290"/>
      <c r="HF38" s="290"/>
      <c r="HG38" s="290"/>
      <c r="HH38" s="290"/>
      <c r="HI38" s="290"/>
      <c r="HJ38" s="290"/>
      <c r="HK38" s="290"/>
      <c r="HL38" s="290"/>
      <c r="HM38" s="290"/>
      <c r="HN38" s="207"/>
      <c r="HO38" s="207"/>
      <c r="HP38" s="290"/>
      <c r="HQ38" s="290"/>
      <c r="HR38" s="290"/>
      <c r="HS38" s="290"/>
      <c r="HT38" s="290"/>
      <c r="HU38" s="290"/>
      <c r="HV38" s="290"/>
      <c r="HW38" s="290"/>
      <c r="HX38" s="290"/>
      <c r="HY38" s="290"/>
      <c r="HZ38" s="290"/>
      <c r="IA38" s="207"/>
      <c r="IB38" s="207"/>
      <c r="IC38" s="290"/>
      <c r="ID38" s="290"/>
      <c r="IE38" s="290"/>
      <c r="IF38" s="290"/>
      <c r="IG38" s="290"/>
      <c r="IH38" s="290"/>
      <c r="II38" s="290"/>
      <c r="IJ38" s="290"/>
      <c r="IK38" s="290"/>
      <c r="IL38" s="290"/>
      <c r="IM38" s="290"/>
      <c r="IN38" s="207"/>
      <c r="IO38" s="207"/>
      <c r="IP38" s="290"/>
      <c r="IQ38" s="290"/>
      <c r="IR38" s="290"/>
      <c r="IS38" s="290"/>
      <c r="IT38" s="290"/>
      <c r="IU38" s="290"/>
      <c r="IV38" s="290"/>
    </row>
    <row r="39" spans="1:256" x14ac:dyDescent="0.2">
      <c r="A39" s="218"/>
      <c r="B39" s="219"/>
      <c r="C39" s="285"/>
      <c r="D39" s="285"/>
      <c r="E39" s="285"/>
      <c r="F39" s="285"/>
      <c r="G39" s="285"/>
      <c r="H39" s="285"/>
      <c r="I39" s="285"/>
      <c r="J39" s="285"/>
      <c r="K39" s="285"/>
      <c r="L39" s="285"/>
      <c r="M39" s="286"/>
      <c r="N39" s="211"/>
      <c r="O39" s="211"/>
      <c r="P39" s="291"/>
      <c r="Q39" s="291"/>
      <c r="R39" s="291"/>
      <c r="S39" s="291"/>
      <c r="T39" s="291"/>
      <c r="U39" s="291"/>
      <c r="V39" s="291"/>
      <c r="W39" s="291"/>
      <c r="X39" s="291"/>
      <c r="Y39" s="291"/>
      <c r="Z39" s="291"/>
      <c r="AA39" s="207"/>
      <c r="AB39" s="207"/>
      <c r="AC39" s="290"/>
      <c r="AD39" s="290"/>
      <c r="AE39" s="290"/>
      <c r="AF39" s="290"/>
      <c r="AG39" s="290"/>
      <c r="AH39" s="290"/>
      <c r="AI39" s="290"/>
      <c r="AJ39" s="290"/>
      <c r="AK39" s="290"/>
      <c r="AL39" s="290"/>
      <c r="AM39" s="290"/>
      <c r="AN39" s="207"/>
      <c r="AO39" s="207"/>
      <c r="AP39" s="290"/>
      <c r="AQ39" s="290"/>
      <c r="AR39" s="290"/>
      <c r="AS39" s="290"/>
      <c r="AT39" s="290"/>
      <c r="AU39" s="290"/>
      <c r="AV39" s="290"/>
      <c r="AW39" s="290"/>
      <c r="AX39" s="290"/>
      <c r="AY39" s="290"/>
      <c r="AZ39" s="290"/>
      <c r="BA39" s="207"/>
      <c r="BB39" s="207"/>
      <c r="BC39" s="290"/>
      <c r="BD39" s="290"/>
      <c r="BE39" s="290"/>
      <c r="BF39" s="290"/>
      <c r="BG39" s="290"/>
      <c r="BH39" s="290"/>
      <c r="BI39" s="290"/>
      <c r="BJ39" s="290"/>
      <c r="BK39" s="290"/>
      <c r="BL39" s="290"/>
      <c r="BM39" s="290"/>
      <c r="BN39" s="207"/>
      <c r="BO39" s="207"/>
      <c r="BP39" s="290"/>
      <c r="BQ39" s="290"/>
      <c r="BR39" s="290"/>
      <c r="BS39" s="290"/>
      <c r="BT39" s="290"/>
      <c r="BU39" s="290"/>
      <c r="BV39" s="290"/>
      <c r="BW39" s="290"/>
      <c r="BX39" s="290"/>
      <c r="BY39" s="290"/>
      <c r="BZ39" s="290"/>
      <c r="CA39" s="207"/>
      <c r="CB39" s="207"/>
      <c r="CC39" s="290"/>
      <c r="CD39" s="290"/>
      <c r="CE39" s="290"/>
      <c r="CF39" s="290"/>
      <c r="CG39" s="290"/>
      <c r="CH39" s="290"/>
      <c r="CI39" s="290"/>
      <c r="CJ39" s="290"/>
      <c r="CK39" s="290"/>
      <c r="CL39" s="290"/>
      <c r="CM39" s="290"/>
      <c r="CN39" s="207"/>
      <c r="CO39" s="207"/>
      <c r="CP39" s="290"/>
      <c r="CQ39" s="290"/>
      <c r="CR39" s="290"/>
      <c r="CS39" s="290"/>
      <c r="CT39" s="290"/>
      <c r="CU39" s="290"/>
      <c r="CV39" s="290"/>
      <c r="CW39" s="290"/>
      <c r="CX39" s="290"/>
      <c r="CY39" s="290"/>
      <c r="CZ39" s="290"/>
      <c r="DA39" s="207"/>
      <c r="DB39" s="207"/>
      <c r="DC39" s="290"/>
      <c r="DD39" s="290"/>
      <c r="DE39" s="290"/>
      <c r="DF39" s="290"/>
      <c r="DG39" s="290"/>
      <c r="DH39" s="290"/>
      <c r="DI39" s="290"/>
      <c r="DJ39" s="290"/>
      <c r="DK39" s="290"/>
      <c r="DL39" s="290"/>
      <c r="DM39" s="290"/>
      <c r="DN39" s="207"/>
      <c r="DO39" s="207"/>
      <c r="DP39" s="290"/>
      <c r="DQ39" s="290"/>
      <c r="DR39" s="290"/>
      <c r="DS39" s="290"/>
      <c r="DT39" s="290"/>
      <c r="DU39" s="290"/>
      <c r="DV39" s="290"/>
      <c r="DW39" s="290"/>
      <c r="DX39" s="290"/>
      <c r="DY39" s="290"/>
      <c r="DZ39" s="290"/>
      <c r="EA39" s="207"/>
      <c r="EB39" s="207"/>
      <c r="EC39" s="290"/>
      <c r="ED39" s="290"/>
      <c r="EE39" s="290"/>
      <c r="EF39" s="290"/>
      <c r="EG39" s="290"/>
      <c r="EH39" s="290"/>
      <c r="EI39" s="290"/>
      <c r="EJ39" s="290"/>
      <c r="EK39" s="290"/>
      <c r="EL39" s="290"/>
      <c r="EM39" s="290"/>
      <c r="EN39" s="207"/>
      <c r="EO39" s="207"/>
      <c r="EP39" s="290"/>
      <c r="EQ39" s="290"/>
      <c r="ER39" s="290"/>
      <c r="ES39" s="290"/>
      <c r="ET39" s="290"/>
      <c r="EU39" s="290"/>
      <c r="EV39" s="290"/>
      <c r="EW39" s="290"/>
      <c r="EX39" s="290"/>
      <c r="EY39" s="290"/>
      <c r="EZ39" s="290"/>
      <c r="FA39" s="207"/>
      <c r="FB39" s="207"/>
      <c r="FC39" s="290"/>
      <c r="FD39" s="290"/>
      <c r="FE39" s="290"/>
      <c r="FF39" s="290"/>
      <c r="FG39" s="290"/>
      <c r="FH39" s="290"/>
      <c r="FI39" s="290"/>
      <c r="FJ39" s="290"/>
      <c r="FK39" s="290"/>
      <c r="FL39" s="290"/>
      <c r="FM39" s="290"/>
      <c r="FN39" s="207"/>
      <c r="FO39" s="207"/>
      <c r="FP39" s="290"/>
      <c r="FQ39" s="290"/>
      <c r="FR39" s="290"/>
      <c r="FS39" s="290"/>
      <c r="FT39" s="290"/>
      <c r="FU39" s="290"/>
      <c r="FV39" s="290"/>
      <c r="FW39" s="290"/>
      <c r="FX39" s="290"/>
      <c r="FY39" s="290"/>
      <c r="FZ39" s="290"/>
      <c r="GA39" s="207"/>
      <c r="GB39" s="207"/>
      <c r="GC39" s="290"/>
      <c r="GD39" s="290"/>
      <c r="GE39" s="290"/>
      <c r="GF39" s="290"/>
      <c r="GG39" s="290"/>
      <c r="GH39" s="290"/>
      <c r="GI39" s="290"/>
      <c r="GJ39" s="290"/>
      <c r="GK39" s="290"/>
      <c r="GL39" s="290"/>
      <c r="GM39" s="290"/>
      <c r="GN39" s="207"/>
      <c r="GO39" s="207"/>
      <c r="GP39" s="290"/>
      <c r="GQ39" s="290"/>
      <c r="GR39" s="290"/>
      <c r="GS39" s="290"/>
      <c r="GT39" s="290"/>
      <c r="GU39" s="290"/>
      <c r="GV39" s="290"/>
      <c r="GW39" s="290"/>
      <c r="GX39" s="290"/>
      <c r="GY39" s="290"/>
      <c r="GZ39" s="290"/>
      <c r="HA39" s="207"/>
      <c r="HB39" s="207"/>
      <c r="HC39" s="290"/>
      <c r="HD39" s="290"/>
      <c r="HE39" s="290"/>
      <c r="HF39" s="290"/>
      <c r="HG39" s="290"/>
      <c r="HH39" s="290"/>
      <c r="HI39" s="290"/>
      <c r="HJ39" s="290"/>
      <c r="HK39" s="290"/>
      <c r="HL39" s="290"/>
      <c r="HM39" s="290"/>
      <c r="HN39" s="207"/>
      <c r="HO39" s="207"/>
      <c r="HP39" s="290"/>
      <c r="HQ39" s="290"/>
      <c r="HR39" s="290"/>
      <c r="HS39" s="290"/>
      <c r="HT39" s="290"/>
      <c r="HU39" s="290"/>
      <c r="HV39" s="290"/>
      <c r="HW39" s="290"/>
      <c r="HX39" s="290"/>
      <c r="HY39" s="290"/>
      <c r="HZ39" s="290"/>
      <c r="IA39" s="207"/>
      <c r="IB39" s="207"/>
      <c r="IC39" s="290"/>
      <c r="ID39" s="290"/>
      <c r="IE39" s="290"/>
      <c r="IF39" s="290"/>
      <c r="IG39" s="290"/>
      <c r="IH39" s="290"/>
      <c r="II39" s="290"/>
      <c r="IJ39" s="290"/>
      <c r="IK39" s="290"/>
      <c r="IL39" s="290"/>
      <c r="IM39" s="290"/>
      <c r="IN39" s="207"/>
      <c r="IO39" s="207"/>
      <c r="IP39" s="290"/>
      <c r="IQ39" s="290"/>
      <c r="IR39" s="290"/>
      <c r="IS39" s="290"/>
      <c r="IT39" s="290"/>
      <c r="IU39" s="290"/>
      <c r="IV39" s="290"/>
    </row>
    <row r="40" spans="1:256" x14ac:dyDescent="0.2">
      <c r="A40" s="218"/>
      <c r="B40" s="219"/>
      <c r="C40" s="285"/>
      <c r="D40" s="285"/>
      <c r="E40" s="285"/>
      <c r="F40" s="285"/>
      <c r="G40" s="285"/>
      <c r="H40" s="285"/>
      <c r="I40" s="285"/>
      <c r="J40" s="285"/>
      <c r="K40" s="285"/>
      <c r="L40" s="285"/>
      <c r="M40" s="286"/>
      <c r="N40" s="211"/>
      <c r="O40" s="211"/>
      <c r="P40" s="291"/>
      <c r="Q40" s="291"/>
      <c r="R40" s="291"/>
      <c r="S40" s="291"/>
      <c r="T40" s="291"/>
      <c r="U40" s="291"/>
      <c r="V40" s="291"/>
      <c r="W40" s="291"/>
      <c r="X40" s="291"/>
      <c r="Y40" s="291"/>
      <c r="Z40" s="291"/>
      <c r="AA40" s="207"/>
      <c r="AB40" s="207"/>
      <c r="AC40" s="290"/>
      <c r="AD40" s="290"/>
      <c r="AE40" s="290"/>
      <c r="AF40" s="290"/>
      <c r="AG40" s="290"/>
      <c r="AH40" s="290"/>
      <c r="AI40" s="290"/>
      <c r="AJ40" s="290"/>
      <c r="AK40" s="290"/>
      <c r="AL40" s="290"/>
      <c r="AM40" s="290"/>
      <c r="AN40" s="207"/>
      <c r="AO40" s="207"/>
      <c r="AP40" s="290"/>
      <c r="AQ40" s="290"/>
      <c r="AR40" s="290"/>
      <c r="AS40" s="290"/>
      <c r="AT40" s="290"/>
      <c r="AU40" s="290"/>
      <c r="AV40" s="290"/>
      <c r="AW40" s="290"/>
      <c r="AX40" s="290"/>
      <c r="AY40" s="290"/>
      <c r="AZ40" s="290"/>
      <c r="BA40" s="207"/>
      <c r="BB40" s="207"/>
      <c r="BC40" s="290"/>
      <c r="BD40" s="290"/>
      <c r="BE40" s="290"/>
      <c r="BF40" s="290"/>
      <c r="BG40" s="290"/>
      <c r="BH40" s="290"/>
      <c r="BI40" s="290"/>
      <c r="BJ40" s="290"/>
      <c r="BK40" s="290"/>
      <c r="BL40" s="290"/>
      <c r="BM40" s="290"/>
      <c r="BN40" s="207"/>
      <c r="BO40" s="207"/>
      <c r="BP40" s="290"/>
      <c r="BQ40" s="290"/>
      <c r="BR40" s="290"/>
      <c r="BS40" s="290"/>
      <c r="BT40" s="290"/>
      <c r="BU40" s="290"/>
      <c r="BV40" s="290"/>
      <c r="BW40" s="290"/>
      <c r="BX40" s="290"/>
      <c r="BY40" s="290"/>
      <c r="BZ40" s="290"/>
      <c r="CA40" s="207"/>
      <c r="CB40" s="207"/>
      <c r="CC40" s="290"/>
      <c r="CD40" s="290"/>
      <c r="CE40" s="290"/>
      <c r="CF40" s="290"/>
      <c r="CG40" s="290"/>
      <c r="CH40" s="290"/>
      <c r="CI40" s="290"/>
      <c r="CJ40" s="290"/>
      <c r="CK40" s="290"/>
      <c r="CL40" s="290"/>
      <c r="CM40" s="290"/>
      <c r="CN40" s="207"/>
      <c r="CO40" s="207"/>
      <c r="CP40" s="290"/>
      <c r="CQ40" s="290"/>
      <c r="CR40" s="290"/>
      <c r="CS40" s="290"/>
      <c r="CT40" s="290"/>
      <c r="CU40" s="290"/>
      <c r="CV40" s="290"/>
      <c r="CW40" s="290"/>
      <c r="CX40" s="290"/>
      <c r="CY40" s="290"/>
      <c r="CZ40" s="290"/>
      <c r="DA40" s="207"/>
      <c r="DB40" s="207"/>
      <c r="DC40" s="290"/>
      <c r="DD40" s="290"/>
      <c r="DE40" s="290"/>
      <c r="DF40" s="290"/>
      <c r="DG40" s="290"/>
      <c r="DH40" s="290"/>
      <c r="DI40" s="290"/>
      <c r="DJ40" s="290"/>
      <c r="DK40" s="290"/>
      <c r="DL40" s="290"/>
      <c r="DM40" s="290"/>
      <c r="DN40" s="207"/>
      <c r="DO40" s="207"/>
      <c r="DP40" s="290"/>
      <c r="DQ40" s="290"/>
      <c r="DR40" s="290"/>
      <c r="DS40" s="290"/>
      <c r="DT40" s="290"/>
      <c r="DU40" s="290"/>
      <c r="DV40" s="290"/>
      <c r="DW40" s="290"/>
      <c r="DX40" s="290"/>
      <c r="DY40" s="290"/>
      <c r="DZ40" s="290"/>
      <c r="EA40" s="207"/>
      <c r="EB40" s="207"/>
      <c r="EC40" s="290"/>
      <c r="ED40" s="290"/>
      <c r="EE40" s="290"/>
      <c r="EF40" s="290"/>
      <c r="EG40" s="290"/>
      <c r="EH40" s="290"/>
      <c r="EI40" s="290"/>
      <c r="EJ40" s="290"/>
      <c r="EK40" s="290"/>
      <c r="EL40" s="290"/>
      <c r="EM40" s="290"/>
      <c r="EN40" s="207"/>
      <c r="EO40" s="207"/>
      <c r="EP40" s="290"/>
      <c r="EQ40" s="290"/>
      <c r="ER40" s="290"/>
      <c r="ES40" s="290"/>
      <c r="ET40" s="290"/>
      <c r="EU40" s="290"/>
      <c r="EV40" s="290"/>
      <c r="EW40" s="290"/>
      <c r="EX40" s="290"/>
      <c r="EY40" s="290"/>
      <c r="EZ40" s="290"/>
      <c r="FA40" s="207"/>
      <c r="FB40" s="207"/>
      <c r="FC40" s="290"/>
      <c r="FD40" s="290"/>
      <c r="FE40" s="290"/>
      <c r="FF40" s="290"/>
      <c r="FG40" s="290"/>
      <c r="FH40" s="290"/>
      <c r="FI40" s="290"/>
      <c r="FJ40" s="290"/>
      <c r="FK40" s="290"/>
      <c r="FL40" s="290"/>
      <c r="FM40" s="290"/>
      <c r="FN40" s="207"/>
      <c r="FO40" s="207"/>
      <c r="FP40" s="290"/>
      <c r="FQ40" s="290"/>
      <c r="FR40" s="290"/>
      <c r="FS40" s="290"/>
      <c r="FT40" s="290"/>
      <c r="FU40" s="290"/>
      <c r="FV40" s="290"/>
      <c r="FW40" s="290"/>
      <c r="FX40" s="290"/>
      <c r="FY40" s="290"/>
      <c r="FZ40" s="290"/>
      <c r="GA40" s="207"/>
      <c r="GB40" s="207"/>
      <c r="GC40" s="290"/>
      <c r="GD40" s="290"/>
      <c r="GE40" s="290"/>
      <c r="GF40" s="290"/>
      <c r="GG40" s="290"/>
      <c r="GH40" s="290"/>
      <c r="GI40" s="290"/>
      <c r="GJ40" s="290"/>
      <c r="GK40" s="290"/>
      <c r="GL40" s="290"/>
      <c r="GM40" s="290"/>
      <c r="GN40" s="207"/>
      <c r="GO40" s="207"/>
      <c r="GP40" s="290"/>
      <c r="GQ40" s="290"/>
      <c r="GR40" s="290"/>
      <c r="GS40" s="290"/>
      <c r="GT40" s="290"/>
      <c r="GU40" s="290"/>
      <c r="GV40" s="290"/>
      <c r="GW40" s="290"/>
      <c r="GX40" s="290"/>
      <c r="GY40" s="290"/>
      <c r="GZ40" s="290"/>
      <c r="HA40" s="207"/>
      <c r="HB40" s="207"/>
      <c r="HC40" s="290"/>
      <c r="HD40" s="290"/>
      <c r="HE40" s="290"/>
      <c r="HF40" s="290"/>
      <c r="HG40" s="290"/>
      <c r="HH40" s="290"/>
      <c r="HI40" s="290"/>
      <c r="HJ40" s="290"/>
      <c r="HK40" s="290"/>
      <c r="HL40" s="290"/>
      <c r="HM40" s="290"/>
      <c r="HN40" s="207"/>
      <c r="HO40" s="207"/>
      <c r="HP40" s="290"/>
      <c r="HQ40" s="290"/>
      <c r="HR40" s="290"/>
      <c r="HS40" s="290"/>
      <c r="HT40" s="290"/>
      <c r="HU40" s="290"/>
      <c r="HV40" s="290"/>
      <c r="HW40" s="290"/>
      <c r="HX40" s="290"/>
      <c r="HY40" s="290"/>
      <c r="HZ40" s="290"/>
      <c r="IA40" s="207"/>
      <c r="IB40" s="207"/>
      <c r="IC40" s="290"/>
      <c r="ID40" s="290"/>
      <c r="IE40" s="290"/>
      <c r="IF40" s="290"/>
      <c r="IG40" s="290"/>
      <c r="IH40" s="290"/>
      <c r="II40" s="290"/>
      <c r="IJ40" s="290"/>
      <c r="IK40" s="290"/>
      <c r="IL40" s="290"/>
      <c r="IM40" s="290"/>
      <c r="IN40" s="207"/>
      <c r="IO40" s="207"/>
      <c r="IP40" s="290"/>
      <c r="IQ40" s="290"/>
      <c r="IR40" s="290"/>
      <c r="IS40" s="290"/>
      <c r="IT40" s="290"/>
      <c r="IU40" s="290"/>
      <c r="IV40" s="290"/>
    </row>
    <row r="41" spans="1:256" x14ac:dyDescent="0.2">
      <c r="A41" s="218"/>
      <c r="B41" s="219"/>
      <c r="C41" s="285"/>
      <c r="D41" s="285"/>
      <c r="E41" s="285"/>
      <c r="F41" s="285"/>
      <c r="G41" s="285"/>
      <c r="H41" s="285"/>
      <c r="I41" s="285"/>
      <c r="J41" s="285"/>
      <c r="K41" s="285"/>
      <c r="L41" s="285"/>
      <c r="M41" s="286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5"/>
      <c r="D42" s="285"/>
      <c r="E42" s="285"/>
      <c r="F42" s="285"/>
      <c r="G42" s="285"/>
      <c r="H42" s="285"/>
      <c r="I42" s="285"/>
      <c r="J42" s="285"/>
      <c r="K42" s="285"/>
      <c r="L42" s="285"/>
      <c r="M42" s="286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5"/>
      <c r="D43" s="285"/>
      <c r="E43" s="285"/>
      <c r="F43" s="285"/>
      <c r="G43" s="285"/>
      <c r="H43" s="285"/>
      <c r="I43" s="285"/>
      <c r="J43" s="285"/>
      <c r="K43" s="285"/>
      <c r="L43" s="285"/>
      <c r="M43" s="286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5"/>
      <c r="D44" s="285"/>
      <c r="E44" s="285"/>
      <c r="F44" s="285"/>
      <c r="G44" s="285"/>
      <c r="H44" s="285"/>
      <c r="I44" s="285"/>
      <c r="J44" s="285"/>
      <c r="K44" s="285"/>
      <c r="L44" s="285"/>
      <c r="M44" s="286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5"/>
      <c r="D45" s="285"/>
      <c r="E45" s="285"/>
      <c r="F45" s="285"/>
      <c r="G45" s="285"/>
      <c r="H45" s="285"/>
      <c r="I45" s="285"/>
      <c r="J45" s="285"/>
      <c r="K45" s="285"/>
      <c r="L45" s="285"/>
      <c r="M45" s="286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5"/>
      <c r="D46" s="285"/>
      <c r="E46" s="285"/>
      <c r="F46" s="285"/>
      <c r="G46" s="285"/>
      <c r="H46" s="285"/>
      <c r="I46" s="285"/>
      <c r="J46" s="285"/>
      <c r="K46" s="285"/>
      <c r="L46" s="285"/>
      <c r="M46" s="286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5"/>
      <c r="D47" s="285"/>
      <c r="E47" s="285"/>
      <c r="F47" s="285"/>
      <c r="G47" s="285"/>
      <c r="H47" s="285"/>
      <c r="I47" s="285"/>
      <c r="J47" s="285"/>
      <c r="K47" s="285"/>
      <c r="L47" s="285"/>
      <c r="M47" s="286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5"/>
      <c r="D48" s="285"/>
      <c r="E48" s="285"/>
      <c r="F48" s="285"/>
      <c r="G48" s="285"/>
      <c r="H48" s="285"/>
      <c r="I48" s="285"/>
      <c r="J48" s="285"/>
      <c r="K48" s="285"/>
      <c r="L48" s="285"/>
      <c r="M48" s="286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5"/>
      <c r="D49" s="285"/>
      <c r="E49" s="285"/>
      <c r="F49" s="285"/>
      <c r="G49" s="285"/>
      <c r="H49" s="285"/>
      <c r="I49" s="285"/>
      <c r="J49" s="285"/>
      <c r="K49" s="285"/>
      <c r="L49" s="285"/>
      <c r="M49" s="286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5"/>
      <c r="D50" s="285"/>
      <c r="E50" s="285"/>
      <c r="F50" s="285"/>
      <c r="G50" s="285"/>
      <c r="H50" s="285"/>
      <c r="I50" s="285"/>
      <c r="J50" s="285"/>
      <c r="K50" s="285"/>
      <c r="L50" s="285"/>
      <c r="M50" s="286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5"/>
      <c r="D51" s="285"/>
      <c r="E51" s="285"/>
      <c r="F51" s="285"/>
      <c r="G51" s="285"/>
      <c r="H51" s="285"/>
      <c r="I51" s="285"/>
      <c r="J51" s="285"/>
      <c r="K51" s="285"/>
      <c r="L51" s="285"/>
      <c r="M51" s="286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5"/>
      <c r="D52" s="285"/>
      <c r="E52" s="285"/>
      <c r="F52" s="285"/>
      <c r="G52" s="285"/>
      <c r="H52" s="285"/>
      <c r="I52" s="285"/>
      <c r="J52" s="285"/>
      <c r="K52" s="285"/>
      <c r="L52" s="285"/>
      <c r="M52" s="286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5"/>
      <c r="D53" s="285"/>
      <c r="E53" s="285"/>
      <c r="F53" s="285"/>
      <c r="G53" s="285"/>
      <c r="H53" s="285"/>
      <c r="I53" s="285"/>
      <c r="J53" s="285"/>
      <c r="K53" s="285"/>
      <c r="L53" s="285"/>
      <c r="M53" s="286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5"/>
      <c r="D54" s="285"/>
      <c r="E54" s="285"/>
      <c r="F54" s="285"/>
      <c r="G54" s="285"/>
      <c r="H54" s="285"/>
      <c r="I54" s="285"/>
      <c r="J54" s="285"/>
      <c r="K54" s="285"/>
      <c r="L54" s="285"/>
      <c r="M54" s="286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5"/>
      <c r="D55" s="285"/>
      <c r="E55" s="285"/>
      <c r="F55" s="285"/>
      <c r="G55" s="285"/>
      <c r="H55" s="285"/>
      <c r="I55" s="285"/>
      <c r="J55" s="285"/>
      <c r="K55" s="285"/>
      <c r="L55" s="285"/>
      <c r="M55" s="286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5"/>
      <c r="D56" s="285"/>
      <c r="E56" s="285"/>
      <c r="F56" s="285"/>
      <c r="G56" s="285"/>
      <c r="H56" s="285"/>
      <c r="I56" s="285"/>
      <c r="J56" s="285"/>
      <c r="K56" s="285"/>
      <c r="L56" s="285"/>
      <c r="M56" s="286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5"/>
      <c r="D57" s="285"/>
      <c r="E57" s="285"/>
      <c r="F57" s="285"/>
      <c r="G57" s="285"/>
      <c r="H57" s="285"/>
      <c r="I57" s="285"/>
      <c r="J57" s="285"/>
      <c r="K57" s="285"/>
      <c r="L57" s="285"/>
      <c r="M57" s="286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5"/>
      <c r="D58" s="285"/>
      <c r="E58" s="285"/>
      <c r="F58" s="285"/>
      <c r="G58" s="285"/>
      <c r="H58" s="285"/>
      <c r="I58" s="285"/>
      <c r="J58" s="285"/>
      <c r="K58" s="285"/>
      <c r="L58" s="285"/>
      <c r="M58" s="286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5"/>
      <c r="D59" s="285"/>
      <c r="E59" s="285"/>
      <c r="F59" s="285"/>
      <c r="G59" s="285"/>
      <c r="H59" s="285"/>
      <c r="I59" s="285"/>
      <c r="J59" s="285"/>
      <c r="K59" s="285"/>
      <c r="L59" s="285"/>
      <c r="M59" s="286"/>
    </row>
    <row r="60" spans="1:256" x14ac:dyDescent="0.2">
      <c r="A60" s="218"/>
      <c r="B60" s="219"/>
      <c r="C60" s="285"/>
      <c r="D60" s="285"/>
      <c r="E60" s="285"/>
      <c r="F60" s="285"/>
      <c r="G60" s="285"/>
      <c r="H60" s="285"/>
      <c r="I60" s="285"/>
      <c r="J60" s="285"/>
      <c r="K60" s="285"/>
      <c r="L60" s="285"/>
      <c r="M60" s="286"/>
    </row>
    <row r="61" spans="1:256" x14ac:dyDescent="0.2">
      <c r="A61" s="218"/>
      <c r="B61" s="219"/>
      <c r="C61" s="285"/>
      <c r="D61" s="285"/>
      <c r="E61" s="285"/>
      <c r="F61" s="285"/>
      <c r="G61" s="285"/>
      <c r="H61" s="285"/>
      <c r="I61" s="285"/>
      <c r="J61" s="285"/>
      <c r="K61" s="285"/>
      <c r="L61" s="285"/>
      <c r="M61" s="286"/>
    </row>
    <row r="62" spans="1:256" x14ac:dyDescent="0.2">
      <c r="A62" s="218"/>
      <c r="B62" s="219"/>
      <c r="C62" s="285"/>
      <c r="D62" s="285"/>
      <c r="E62" s="285"/>
      <c r="F62" s="285"/>
      <c r="G62" s="285"/>
      <c r="H62" s="285"/>
      <c r="I62" s="285"/>
      <c r="J62" s="285"/>
      <c r="K62" s="285"/>
      <c r="L62" s="285"/>
      <c r="M62" s="286"/>
    </row>
    <row r="63" spans="1:256" x14ac:dyDescent="0.2">
      <c r="A63" s="218"/>
      <c r="B63" s="219"/>
      <c r="C63" s="285"/>
      <c r="D63" s="285"/>
      <c r="E63" s="285"/>
      <c r="F63" s="285"/>
      <c r="G63" s="285"/>
      <c r="H63" s="285"/>
      <c r="I63" s="285"/>
      <c r="J63" s="285"/>
      <c r="K63" s="285"/>
      <c r="L63" s="285"/>
      <c r="M63" s="286"/>
    </row>
    <row r="64" spans="1:256" x14ac:dyDescent="0.2">
      <c r="A64" s="218"/>
      <c r="B64" s="219"/>
      <c r="C64" s="285"/>
      <c r="D64" s="285"/>
      <c r="E64" s="285"/>
      <c r="F64" s="285"/>
      <c r="G64" s="285"/>
      <c r="H64" s="285"/>
      <c r="I64" s="285"/>
      <c r="J64" s="285"/>
      <c r="K64" s="285"/>
      <c r="L64" s="285"/>
      <c r="M64" s="286"/>
    </row>
    <row r="65" spans="1:13" x14ac:dyDescent="0.2">
      <c r="A65" s="218"/>
      <c r="B65" s="219"/>
      <c r="C65" s="285"/>
      <c r="D65" s="285"/>
      <c r="E65" s="285"/>
      <c r="F65" s="285"/>
      <c r="G65" s="285"/>
      <c r="H65" s="285"/>
      <c r="I65" s="285"/>
      <c r="J65" s="285"/>
      <c r="K65" s="285"/>
      <c r="L65" s="285"/>
      <c r="M65" s="286"/>
    </row>
    <row r="66" spans="1:13" x14ac:dyDescent="0.2">
      <c r="A66" s="218"/>
      <c r="B66" s="219"/>
      <c r="C66" s="285"/>
      <c r="D66" s="285"/>
      <c r="E66" s="285"/>
      <c r="F66" s="285"/>
      <c r="G66" s="285"/>
      <c r="H66" s="285"/>
      <c r="I66" s="285"/>
      <c r="J66" s="285"/>
      <c r="K66" s="285"/>
      <c r="L66" s="285"/>
      <c r="M66" s="286"/>
    </row>
    <row r="67" spans="1:13" x14ac:dyDescent="0.2">
      <c r="A67" s="218"/>
      <c r="B67" s="219"/>
      <c r="C67" s="285"/>
      <c r="D67" s="285"/>
      <c r="E67" s="285"/>
      <c r="F67" s="285"/>
      <c r="G67" s="285"/>
      <c r="H67" s="285"/>
      <c r="I67" s="285"/>
      <c r="J67" s="285"/>
      <c r="K67" s="285"/>
      <c r="L67" s="285"/>
      <c r="M67" s="286"/>
    </row>
    <row r="68" spans="1:13" x14ac:dyDescent="0.2">
      <c r="A68" s="218"/>
      <c r="B68" s="219"/>
      <c r="C68" s="285"/>
      <c r="D68" s="285"/>
      <c r="E68" s="285"/>
      <c r="F68" s="285"/>
      <c r="G68" s="285"/>
      <c r="H68" s="285"/>
      <c r="I68" s="285"/>
      <c r="J68" s="285"/>
      <c r="K68" s="285"/>
      <c r="L68" s="285"/>
      <c r="M68" s="286"/>
    </row>
    <row r="69" spans="1:13" x14ac:dyDescent="0.2">
      <c r="A69" s="218"/>
      <c r="B69" s="219"/>
      <c r="C69" s="285"/>
      <c r="D69" s="285"/>
      <c r="E69" s="285"/>
      <c r="F69" s="285"/>
      <c r="G69" s="285"/>
      <c r="H69" s="285"/>
      <c r="I69" s="285"/>
      <c r="J69" s="285"/>
      <c r="K69" s="285"/>
      <c r="L69" s="285"/>
      <c r="M69" s="286"/>
    </row>
    <row r="70" spans="1:13" ht="12" thickBot="1" x14ac:dyDescent="0.25">
      <c r="A70" s="220"/>
      <c r="B70" s="221"/>
      <c r="C70" s="287"/>
      <c r="D70" s="287"/>
      <c r="E70" s="287"/>
      <c r="F70" s="287"/>
      <c r="G70" s="287"/>
      <c r="H70" s="287"/>
      <c r="I70" s="287"/>
      <c r="J70" s="287"/>
      <c r="K70" s="287"/>
      <c r="L70" s="287"/>
      <c r="M70" s="288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9" t="s">
        <v>848</v>
      </c>
      <c r="B72" s="289"/>
      <c r="C72" s="289"/>
      <c r="D72" s="289"/>
      <c r="E72" s="289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4"/>
      <c r="D73" s="284"/>
      <c r="E73" s="284"/>
      <c r="F73" s="284"/>
      <c r="G73" s="284"/>
      <c r="H73" s="284"/>
      <c r="I73" s="284"/>
      <c r="J73" s="284"/>
      <c r="K73" s="284"/>
      <c r="L73" s="284"/>
      <c r="M73" s="284"/>
    </row>
    <row r="74" spans="1:13" x14ac:dyDescent="0.2">
      <c r="A74" s="211"/>
      <c r="B74" s="211"/>
      <c r="C74" s="284"/>
      <c r="D74" s="284"/>
      <c r="E74" s="284"/>
      <c r="F74" s="284"/>
      <c r="G74" s="284"/>
      <c r="H74" s="284"/>
      <c r="I74" s="284"/>
      <c r="J74" s="284"/>
      <c r="K74" s="284"/>
      <c r="L74" s="284"/>
      <c r="M74" s="284"/>
    </row>
    <row r="75" spans="1:13" x14ac:dyDescent="0.2">
      <c r="A75" s="211"/>
      <c r="B75" s="211"/>
      <c r="C75" s="284"/>
      <c r="D75" s="284"/>
      <c r="E75" s="284"/>
      <c r="F75" s="284"/>
      <c r="G75" s="284"/>
      <c r="H75" s="284"/>
      <c r="I75" s="284"/>
      <c r="J75" s="284"/>
      <c r="K75" s="284"/>
      <c r="L75" s="284"/>
      <c r="M75" s="284"/>
    </row>
    <row r="76" spans="1:13" x14ac:dyDescent="0.2">
      <c r="A76" s="211"/>
      <c r="B76" s="211"/>
      <c r="C76" s="284"/>
      <c r="D76" s="284"/>
      <c r="E76" s="284"/>
      <c r="F76" s="284"/>
      <c r="G76" s="284"/>
      <c r="H76" s="284"/>
      <c r="I76" s="284"/>
      <c r="J76" s="284"/>
      <c r="K76" s="284"/>
      <c r="L76" s="284"/>
      <c r="M76" s="284"/>
    </row>
    <row r="77" spans="1:13" x14ac:dyDescent="0.2">
      <c r="A77" s="211"/>
      <c r="B77" s="211"/>
      <c r="C77" s="284"/>
      <c r="D77" s="284"/>
      <c r="E77" s="284"/>
      <c r="F77" s="284"/>
      <c r="G77" s="284"/>
      <c r="H77" s="284"/>
      <c r="I77" s="284"/>
      <c r="J77" s="284"/>
      <c r="K77" s="284"/>
      <c r="L77" s="284"/>
      <c r="M77" s="284"/>
    </row>
    <row r="78" spans="1:13" x14ac:dyDescent="0.2">
      <c r="A78" s="211"/>
      <c r="B78" s="211"/>
      <c r="C78" s="284"/>
      <c r="D78" s="284"/>
      <c r="E78" s="284"/>
      <c r="F78" s="284"/>
      <c r="G78" s="284"/>
      <c r="H78" s="284"/>
      <c r="I78" s="284"/>
      <c r="J78" s="284"/>
      <c r="K78" s="284"/>
      <c r="L78" s="284"/>
      <c r="M78" s="284"/>
    </row>
    <row r="79" spans="1:13" x14ac:dyDescent="0.2">
      <c r="A79" s="211"/>
      <c r="B79" s="211"/>
      <c r="C79" s="284"/>
      <c r="D79" s="284"/>
      <c r="E79" s="284"/>
      <c r="F79" s="284"/>
      <c r="G79" s="284"/>
      <c r="H79" s="284"/>
      <c r="I79" s="284"/>
      <c r="J79" s="284"/>
      <c r="K79" s="284"/>
      <c r="L79" s="284"/>
      <c r="M79" s="284"/>
    </row>
    <row r="80" spans="1:13" x14ac:dyDescent="0.2">
      <c r="A80" s="211"/>
      <c r="B80" s="211"/>
      <c r="C80" s="284"/>
      <c r="D80" s="284"/>
      <c r="E80" s="284"/>
      <c r="F80" s="284"/>
      <c r="G80" s="284"/>
      <c r="H80" s="284"/>
      <c r="I80" s="284"/>
      <c r="J80" s="284"/>
      <c r="K80" s="284"/>
      <c r="L80" s="284"/>
      <c r="M80" s="284"/>
    </row>
    <row r="81" spans="1:13" x14ac:dyDescent="0.2">
      <c r="A81" s="211"/>
      <c r="B81" s="211"/>
      <c r="C81" s="284"/>
      <c r="D81" s="284"/>
      <c r="E81" s="284"/>
      <c r="F81" s="284"/>
      <c r="G81" s="284"/>
      <c r="H81" s="284"/>
      <c r="I81" s="284"/>
      <c r="J81" s="284"/>
      <c r="K81" s="284"/>
      <c r="L81" s="284"/>
      <c r="M81" s="284"/>
    </row>
    <row r="82" spans="1:13" x14ac:dyDescent="0.2">
      <c r="A82" s="211"/>
      <c r="B82" s="211"/>
      <c r="C82" s="284"/>
      <c r="D82" s="284"/>
      <c r="E82" s="284"/>
      <c r="F82" s="284"/>
      <c r="G82" s="284"/>
      <c r="H82" s="284"/>
      <c r="I82" s="284"/>
      <c r="J82" s="284"/>
      <c r="K82" s="284"/>
      <c r="L82" s="284"/>
      <c r="M82" s="284"/>
    </row>
    <row r="83" spans="1:13" x14ac:dyDescent="0.2">
      <c r="A83" s="211"/>
      <c r="B83" s="211"/>
      <c r="C83" s="284"/>
      <c r="D83" s="284"/>
      <c r="E83" s="284"/>
      <c r="F83" s="284"/>
      <c r="G83" s="284"/>
      <c r="H83" s="284"/>
      <c r="I83" s="284"/>
      <c r="J83" s="284"/>
      <c r="K83" s="284"/>
      <c r="L83" s="284"/>
      <c r="M83" s="284"/>
    </row>
    <row r="84" spans="1:13" x14ac:dyDescent="0.2">
      <c r="A84" s="211"/>
      <c r="B84" s="211"/>
      <c r="C84" s="284"/>
      <c r="D84" s="284"/>
      <c r="E84" s="284"/>
      <c r="F84" s="284"/>
      <c r="G84" s="284"/>
      <c r="H84" s="284"/>
      <c r="I84" s="284"/>
      <c r="J84" s="284"/>
      <c r="K84" s="284"/>
      <c r="L84" s="284"/>
      <c r="M84" s="284"/>
    </row>
    <row r="85" spans="1:13" x14ac:dyDescent="0.2">
      <c r="A85" s="211"/>
      <c r="B85" s="211"/>
      <c r="C85" s="284"/>
      <c r="D85" s="284"/>
      <c r="E85" s="284"/>
      <c r="F85" s="284"/>
      <c r="G85" s="284"/>
      <c r="H85" s="284"/>
      <c r="I85" s="284"/>
      <c r="J85" s="284"/>
      <c r="K85" s="284"/>
      <c r="L85" s="284"/>
      <c r="M85" s="284"/>
    </row>
    <row r="86" spans="1:13" x14ac:dyDescent="0.2">
      <c r="A86" s="211"/>
      <c r="B86" s="211"/>
      <c r="C86" s="284"/>
      <c r="D86" s="284"/>
      <c r="E86" s="284"/>
      <c r="F86" s="284"/>
      <c r="G86" s="284"/>
      <c r="H86" s="284"/>
      <c r="I86" s="284"/>
      <c r="J86" s="284"/>
      <c r="K86" s="284"/>
      <c r="L86" s="284"/>
      <c r="M86" s="284"/>
    </row>
    <row r="87" spans="1:13" x14ac:dyDescent="0.2">
      <c r="A87" s="211"/>
      <c r="B87" s="211"/>
      <c r="C87" s="284"/>
      <c r="D87" s="284"/>
      <c r="E87" s="284"/>
      <c r="F87" s="284"/>
      <c r="G87" s="284"/>
      <c r="H87" s="284"/>
      <c r="I87" s="284"/>
      <c r="J87" s="284"/>
      <c r="K87" s="284"/>
      <c r="L87" s="284"/>
      <c r="M87" s="284"/>
    </row>
    <row r="88" spans="1:13" x14ac:dyDescent="0.2">
      <c r="A88" s="211"/>
      <c r="B88" s="211"/>
      <c r="C88" s="284"/>
      <c r="D88" s="284"/>
      <c r="E88" s="284"/>
      <c r="F88" s="284"/>
      <c r="G88" s="284"/>
      <c r="H88" s="284"/>
      <c r="I88" s="284"/>
      <c r="J88" s="284"/>
      <c r="K88" s="284"/>
      <c r="L88" s="284"/>
      <c r="M88" s="284"/>
    </row>
    <row r="89" spans="1:13" x14ac:dyDescent="0.2">
      <c r="A89" s="211"/>
      <c r="B89" s="211"/>
      <c r="C89" s="284"/>
      <c r="D89" s="284"/>
      <c r="E89" s="284"/>
      <c r="F89" s="284"/>
      <c r="G89" s="284"/>
      <c r="H89" s="284"/>
      <c r="I89" s="284"/>
      <c r="J89" s="284"/>
      <c r="K89" s="284"/>
      <c r="L89" s="284"/>
      <c r="M89" s="284"/>
    </row>
    <row r="90" spans="1:13" x14ac:dyDescent="0.2">
      <c r="A90" s="211"/>
      <c r="B90" s="211"/>
      <c r="C90" s="284"/>
      <c r="D90" s="284"/>
      <c r="E90" s="284"/>
      <c r="F90" s="284"/>
      <c r="G90" s="284"/>
      <c r="H90" s="284"/>
      <c r="I90" s="284"/>
      <c r="J90" s="284"/>
      <c r="K90" s="284"/>
      <c r="L90" s="284"/>
      <c r="M90" s="284"/>
    </row>
  </sheetData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2016-08-25T14:11:54Z</cp:lastPrinted>
  <dcterms:created xsi:type="dcterms:W3CDTF">1997-12-04T19:04:30Z</dcterms:created>
  <dcterms:modified xsi:type="dcterms:W3CDTF">2016-11-30T16:28:42Z</dcterms:modified>
</cp:coreProperties>
</file>