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1600" windowHeight="9435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C18" i="10" s="1"/>
  <c r="L241" i="1"/>
  <c r="F14" i="13"/>
  <c r="G14" i="13"/>
  <c r="L207" i="1"/>
  <c r="D14" i="13" s="1"/>
  <c r="C14" i="13" s="1"/>
  <c r="L225" i="1"/>
  <c r="L243" i="1"/>
  <c r="F15" i="13"/>
  <c r="G15" i="13"/>
  <c r="L208" i="1"/>
  <c r="C124" i="2" s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H661" i="1" s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H660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C10" i="10"/>
  <c r="C12" i="10"/>
  <c r="C19" i="10"/>
  <c r="L250" i="1"/>
  <c r="L332" i="1"/>
  <c r="L254" i="1"/>
  <c r="C25" i="10"/>
  <c r="L268" i="1"/>
  <c r="L269" i="1"/>
  <c r="C143" i="2" s="1"/>
  <c r="L349" i="1"/>
  <c r="L350" i="1"/>
  <c r="I665" i="1"/>
  <c r="I670" i="1"/>
  <c r="F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C57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C112" i="2"/>
  <c r="C113" i="2"/>
  <c r="E113" i="2"/>
  <c r="E114" i="2"/>
  <c r="D115" i="2"/>
  <c r="F115" i="2"/>
  <c r="G115" i="2"/>
  <c r="E118" i="2"/>
  <c r="E119" i="2"/>
  <c r="E120" i="2"/>
  <c r="C122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G211" i="1"/>
  <c r="H211" i="1"/>
  <c r="H257" i="1" s="1"/>
  <c r="H271" i="1" s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0" i="1"/>
  <c r="H640" i="1"/>
  <c r="G641" i="1"/>
  <c r="J641" i="1" s="1"/>
  <c r="G643" i="1"/>
  <c r="J643" i="1" s="1"/>
  <c r="H643" i="1"/>
  <c r="G644" i="1"/>
  <c r="H644" i="1"/>
  <c r="G650" i="1"/>
  <c r="G651" i="1"/>
  <c r="G652" i="1"/>
  <c r="H652" i="1"/>
  <c r="G653" i="1"/>
  <c r="H653" i="1"/>
  <c r="G654" i="1"/>
  <c r="H654" i="1"/>
  <c r="H655" i="1"/>
  <c r="C26" i="10"/>
  <c r="L290" i="1"/>
  <c r="D7" i="13"/>
  <c r="C7" i="13" s="1"/>
  <c r="D18" i="2"/>
  <c r="D50" i="2"/>
  <c r="F18" i="2"/>
  <c r="E103" i="2"/>
  <c r="G62" i="2"/>
  <c r="E13" i="13"/>
  <c r="C13" i="13" s="1"/>
  <c r="E78" i="2"/>
  <c r="J257" i="1"/>
  <c r="J271" i="1" s="1"/>
  <c r="H112" i="1"/>
  <c r="F112" i="1"/>
  <c r="L433" i="1"/>
  <c r="D81" i="2"/>
  <c r="I169" i="1"/>
  <c r="H169" i="1"/>
  <c r="G552" i="1"/>
  <c r="J644" i="1"/>
  <c r="F476" i="1"/>
  <c r="H622" i="1" s="1"/>
  <c r="I476" i="1"/>
  <c r="H625" i="1" s="1"/>
  <c r="J625" i="1" s="1"/>
  <c r="G476" i="1"/>
  <c r="H623" i="1" s="1"/>
  <c r="J623" i="1" s="1"/>
  <c r="J140" i="1"/>
  <c r="F571" i="1"/>
  <c r="G22" i="2"/>
  <c r="K545" i="1"/>
  <c r="H140" i="1"/>
  <c r="J651" i="1"/>
  <c r="H571" i="1"/>
  <c r="J545" i="1"/>
  <c r="H192" i="1"/>
  <c r="L309" i="1"/>
  <c r="L565" i="1"/>
  <c r="K549" i="1" l="1"/>
  <c r="G545" i="1"/>
  <c r="F552" i="1"/>
  <c r="A40" i="12"/>
  <c r="J640" i="1"/>
  <c r="J639" i="1"/>
  <c r="K598" i="1"/>
  <c r="G647" i="1" s="1"/>
  <c r="J647" i="1" s="1"/>
  <c r="H476" i="1"/>
  <c r="H624" i="1" s="1"/>
  <c r="G645" i="1"/>
  <c r="J645" i="1" s="1"/>
  <c r="J617" i="1"/>
  <c r="C18" i="2"/>
  <c r="J476" i="1"/>
  <c r="H626" i="1" s="1"/>
  <c r="L419" i="1"/>
  <c r="L434" i="1" s="1"/>
  <c r="G638" i="1" s="1"/>
  <c r="J638" i="1" s="1"/>
  <c r="C15" i="10"/>
  <c r="C11" i="10"/>
  <c r="L270" i="1"/>
  <c r="J655" i="1"/>
  <c r="K257" i="1"/>
  <c r="K271" i="1" s="1"/>
  <c r="G649" i="1"/>
  <c r="J649" i="1" s="1"/>
  <c r="D15" i="13"/>
  <c r="C15" i="13" s="1"/>
  <c r="H647" i="1"/>
  <c r="F662" i="1"/>
  <c r="I662" i="1" s="1"/>
  <c r="C21" i="10"/>
  <c r="C118" i="2"/>
  <c r="G257" i="1"/>
  <c r="G271" i="1" s="1"/>
  <c r="C17" i="10"/>
  <c r="C16" i="10"/>
  <c r="D6" i="13"/>
  <c r="C6" i="13" s="1"/>
  <c r="D62" i="2"/>
  <c r="D63" i="2" s="1"/>
  <c r="H664" i="1"/>
  <c r="H672" i="1" s="1"/>
  <c r="C6" i="10" s="1"/>
  <c r="C70" i="2"/>
  <c r="C81" i="2" s="1"/>
  <c r="C62" i="2"/>
  <c r="C63" i="2" s="1"/>
  <c r="J622" i="1"/>
  <c r="E33" i="13"/>
  <c r="D35" i="13" s="1"/>
  <c r="C16" i="13"/>
  <c r="E128" i="2"/>
  <c r="E115" i="2"/>
  <c r="D5" i="13"/>
  <c r="C5" i="13" s="1"/>
  <c r="F22" i="13"/>
  <c r="C22" i="13" s="1"/>
  <c r="K550" i="1"/>
  <c r="D29" i="13"/>
  <c r="C29" i="13" s="1"/>
  <c r="G624" i="1"/>
  <c r="J624" i="1" s="1"/>
  <c r="L534" i="1"/>
  <c r="K500" i="1"/>
  <c r="I460" i="1"/>
  <c r="I452" i="1"/>
  <c r="I446" i="1"/>
  <c r="G642" i="1" s="1"/>
  <c r="F271" i="1"/>
  <c r="C125" i="2"/>
  <c r="C123" i="2"/>
  <c r="C121" i="2"/>
  <c r="C119" i="2"/>
  <c r="C114" i="2"/>
  <c r="C110" i="2"/>
  <c r="C115" i="2" s="1"/>
  <c r="G661" i="1"/>
  <c r="I661" i="1" s="1"/>
  <c r="L211" i="1"/>
  <c r="L257" i="1" s="1"/>
  <c r="L271" i="1" s="1"/>
  <c r="G632" i="1" s="1"/>
  <c r="J632" i="1" s="1"/>
  <c r="C20" i="10"/>
  <c r="L362" i="1"/>
  <c r="C27" i="10" s="1"/>
  <c r="C35" i="10"/>
  <c r="C36" i="10" s="1"/>
  <c r="C29" i="10"/>
  <c r="L544" i="1"/>
  <c r="L524" i="1"/>
  <c r="J338" i="1"/>
  <c r="J352" i="1" s="1"/>
  <c r="D127" i="2"/>
  <c r="D128" i="2" s="1"/>
  <c r="D145" i="2" s="1"/>
  <c r="C120" i="2"/>
  <c r="C13" i="10"/>
  <c r="K551" i="1"/>
  <c r="K552" i="1" s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I663" i="1"/>
  <c r="L545" i="1" l="1"/>
  <c r="G635" i="1"/>
  <c r="J635" i="1" s="1"/>
  <c r="E145" i="2"/>
  <c r="C128" i="2"/>
  <c r="C145" i="2" s="1"/>
  <c r="C28" i="10"/>
  <c r="D19" i="10" s="1"/>
  <c r="E104" i="2"/>
  <c r="G664" i="1"/>
  <c r="C104" i="2"/>
  <c r="F193" i="1"/>
  <c r="G627" i="1" s="1"/>
  <c r="J627" i="1" s="1"/>
  <c r="D31" i="13"/>
  <c r="C31" i="13" s="1"/>
  <c r="I461" i="1"/>
  <c r="H642" i="1" s="1"/>
  <c r="J642" i="1" s="1"/>
  <c r="C25" i="13"/>
  <c r="H33" i="13"/>
  <c r="F660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4" i="10"/>
  <c r="D27" i="10"/>
  <c r="D23" i="10"/>
  <c r="D11" i="10"/>
  <c r="D17" i="10"/>
  <c r="D10" i="10"/>
  <c r="D21" i="10"/>
  <c r="D13" i="10"/>
  <c r="D16" i="10"/>
  <c r="D26" i="10"/>
  <c r="D12" i="10"/>
  <c r="D18" i="10"/>
  <c r="C30" i="10"/>
  <c r="D22" i="10"/>
  <c r="D20" i="10"/>
  <c r="D15" i="10"/>
  <c r="D25" i="10"/>
  <c r="G667" i="1"/>
  <c r="G672" i="1"/>
  <c r="C5" i="10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<sst xmlns="http://schemas.openxmlformats.org/spreadsheetml/2006/main" count="3955" uniqueCount="913">
  <si>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</si>
  <si>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</si>
  <si>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</si>
  <si>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</si>
  <si>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</si>
  <si>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</si>
  <si>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</si>
  <si>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</si>
  <si>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</si>
  <si>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</si>
  <si>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</si>
  <si>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</si>
  <si>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</si>
  <si>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</si>
  <si>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</si>
  <si>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</si>
  <si>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</si>
  <si>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</si>
  <si>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</si>
  <si>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</si>
  <si>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</si>
  <si>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</si>
  <si>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</si>
  <si>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</si>
  <si>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</si>
  <si>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</si>
  <si>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</si>
  <si>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</si>
  <si>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</si>
  <si>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</si>
  <si>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</si>
  <si>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</si>
  <si>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</si>
  <si>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</si>
  <si>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</si>
  <si>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</si>
  <si>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</si>
  <si>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</si>
  <si>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</si>
  <si>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</si>
  <si>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</si>
  <si>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</si>
  <si>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</si>
  <si>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</si>
  <si>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</si>
  <si>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</si>
  <si>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</si>
  <si>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</si>
  <si>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</si>
  <si>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</si>
  <si>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</si>
  <si>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</si>
  <si>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</si>
  <si>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</si>
  <si>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</si>
  <si>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</si>
  <si>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</si>
  <si>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</si>
  <si>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</si>
  <si>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</si>
  <si>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</si>
  <si>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</si>
  <si>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</si>
  <si>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</si>
  <si>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</si>
  <si>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</si>
  <si>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</si>
  <si>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</si>
  <si>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</si>
  <si>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</si>
  <si>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</si>
  <si>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</si>
  <si>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</si>
  <si>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</si>
  <si>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</si>
  <si>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</si>
  <si>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</si>
  <si>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</si>
  <si>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</si>
  <si>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</si>
  <si>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</si>
  <si>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</si>
  <si>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</si>
  <si>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</si>
  <si>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</si>
  <si>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</si>
  <si>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</si>
  <si>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</si>
  <si>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</si>
  <si>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</si>
  <si>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</si>
  <si>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</si>
  <si>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</si>
  <si>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</si>
  <si>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</si>
  <si>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</si>
  <si>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</si>
  <si>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</si>
  <si>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</si>
  <si>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</si>
  <si>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</si>
  <si>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</si>
  <si>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</si>
  <si>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</si>
  <si>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</si>
  <si>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</si>
  <si>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</si>
  <si>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</si>
  <si>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</si>
  <si>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</si>
  <si>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</si>
  <si>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</si>
  <si>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</si>
  <si>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</si>
  <si>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</si>
  <si>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</si>
  <si>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</si>
  <si>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</si>
  <si>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</si>
  <si>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</si>
  <si>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</si>
  <si>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</si>
  <si>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</si>
  <si>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</si>
  <si>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</si>
  <si>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</si>
  <si>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</si>
  <si>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</si>
  <si>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</si>
  <si>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</si>
  <si>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</si>
  <si>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</si>
  <si>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</si>
  <si>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</si>
  <si>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</si>
  <si>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</si>
  <si>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</si>
  <si>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</si>
  <si>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</si>
  <si>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</si>
  <si>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</si>
  <si>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</si>
  <si>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</si>
  <si>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</si>
  <si>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</si>
  <si>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</si>
  <si>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</si>
  <si>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</si>
  <si>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</si>
  <si>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</si>
  <si>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</si>
  <si>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</si>
  <si>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</si>
  <si>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</si>
  <si>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</si>
  <si>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</si>
  <si>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</si>
  <si>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</si>
  <si>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</si>
  <si>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</si>
  <si>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</si>
  <si>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</si>
  <si>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</si>
  <si>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</si>
  <si>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</si>
  <si>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</si>
  <si>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</si>
  <si>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</si>
  <si>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</si>
  <si>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</si>
  <si>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</si>
  <si>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</si>
  <si>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</si>
  <si>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</si>
  <si>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</si>
  <si>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</si>
  <si>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</si>
  <si>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</si>
  <si>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</si>
  <si>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</si>
  <si>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</si>
  <si>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</si>
  <si>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</si>
  <si>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</si>
  <si>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</si>
  <si>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</si>
  <si>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</si>
  <si>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</si>
  <si>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</si>
  <si>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</si>
  <si>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</si>
  <si>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</si>
  <si>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</si>
  <si>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</si>
  <si>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</si>
  <si>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</si>
  <si>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</si>
  <si>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</si>
  <si>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</si>
  <si>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</si>
  <si>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</si>
  <si>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</si>
  <si>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</si>
  <si>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</si>
  <si>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</si>
  <si>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</si>
  <si>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</si>
  <si>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</si>
  <si>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</si>
  <si>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</si>
  <si>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</si>
  <si>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</si>
  <si>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</si>
  <si>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</si>
  <si>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</si>
  <si>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</si>
  <si>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</si>
  <si>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</si>
  <si>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</si>
  <si>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</si>
  <si>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</si>
  <si>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</si>
  <si>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</si>
  <si>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</si>
  <si>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</si>
  <si>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</si>
  <si>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</si>
  <si>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</si>
  <si>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</si>
  <si>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</si>
  <si>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</si>
  <si>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</si>
  <si>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</si>
  <si>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</si>
  <si>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</si>
  <si>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</si>
  <si>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</si>
  <si>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</si>
  <si>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</si>
  <si>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</si>
  <si>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</si>
  <si>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</si>
  <si>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</si>
  <si>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</si>
  <si>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</si>
  <si>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</si>
  <si>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</si>
  <si>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</si>
  <si>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</si>
  <si>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</si>
  <si>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</si>
  <si>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</si>
  <si>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</si>
  <si>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</si>
  <si>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</si>
  <si>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</si>
  <si>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</si>
  <si>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</si>
  <si>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</si>
  <si>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</si>
  <si>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</si>
  <si>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</si>
  <si>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</si>
  <si>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</si>
  <si>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</si>
  <si>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</si>
  <si>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</si>
  <si>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</si>
  <si>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</si>
  <si>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</si>
  <si>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</si>
  <si>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</si>
  <si>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</si>
  <si>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</si>
  <si>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</si>
  <si>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</si>
  <si>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</si>
  <si>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</si>
  <si>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</si>
  <si>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</si>
  <si>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</si>
  <si>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</si>
  <si>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</si>
  <si>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</si>
  <si>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</si>
  <si>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</si>
  <si>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</si>
  <si>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</si>
  <si>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</si>
  <si>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</si>
  <si>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</si>
  <si>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</si>
  <si>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</si>
  <si>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</si>
  <si>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</si>
  <si>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</si>
  <si>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</si>
  <si>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</si>
  <si>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</si>
  <si>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</si>
  <si>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</si>
  <si>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</si>
  <si>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</si>
  <si>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</si>
  <si>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</si>
  <si>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</si>
  <si>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</si>
  <si>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</si>
  <si>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</si>
  <si>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</si>
  <si>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</si>
  <si>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</si>
  <si>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</si>
  <si>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</si>
  <si>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</si>
  <si>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</si>
  <si>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</si>
  <si>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</si>
  <si>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</si>
  <si>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</si>
  <si>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</si>
  <si>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</si>
  <si>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</si>
  <si>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</si>
  <si>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</si>
  <si>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</si>
  <si>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</si>
  <si>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</si>
  <si>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</si>
  <si>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</si>
  <si>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</si>
  <si>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</si>
  <si>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</si>
  <si>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</si>
  <si>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</si>
  <si>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</si>
  <si>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</si>
  <si>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</si>
  <si>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</si>
  <si>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</si>
  <si>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</si>
  <si>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</si>
  <si>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</si>
  <si>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</si>
  <si>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</si>
  <si>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</si>
  <si>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</si>
  <si>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</si>
  <si>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</si>
  <si>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</si>
  <si>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</si>
  <si>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</si>
  <si>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</si>
  <si>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</si>
  <si>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</si>
  <si>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</si>
  <si>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</si>
  <si>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</si>
  <si>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</si>
  <si>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</si>
  <si>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</si>
  <si>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</si>
  <si>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</si>
  <si>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</si>
  <si>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</si>
  <si>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</si>
  <si>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</si>
  <si>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</si>
  <si>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</si>
  <si>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</si>
  <si>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</si>
  <si>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</si>
  <si>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</si>
  <si>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</si>
  <si>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</si>
  <si>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</si>
  <si>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</si>
  <si>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</si>
  <si>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</si>
  <si>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</si>
  <si>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</si>
  <si>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</si>
  <si>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</si>
  <si>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</si>
  <si>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</si>
  <si>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</si>
  <si>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</si>
  <si>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</si>
  <si>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</si>
  <si>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</si>
  <si>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</si>
  <si>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</si>
  <si>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</si>
  <si>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</si>
  <si>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</si>
  <si>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</si>
  <si>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</si>
  <si>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</si>
  <si>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</si>
  <si>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</si>
  <si>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</si>
  <si>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</si>
  <si>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</si>
  <si>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</si>
  <si>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</si>
  <si>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</si>
  <si>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</si>
  <si>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</si>
  <si>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</si>
  <si>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</si>
  <si>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</si>
  <si>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</si>
  <si>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</si>
  <si>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</si>
  <si>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</si>
  <si>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</si>
  <si>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</si>
  <si>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</si>
  <si>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</si>
  <si>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</si>
  <si>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</si>
  <si>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</si>
  <si>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</si>
  <si>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</si>
  <si>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</si>
  <si>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</si>
  <si>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</si>
  <si>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</si>
  <si>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</si>
  <si>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</si>
  <si>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</si>
  <si>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</si>
  <si>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</si>
  <si>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</si>
  <si>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</si>
  <si>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</si>
  <si>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</si>
  <si>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</si>
  <si>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</si>
  <si>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</si>
  <si>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</si>
  <si>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</si>
  <si>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</si>
  <si>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</si>
  <si>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</si>
  <si>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</si>
  <si>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</si>
  <si>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</si>
  <si>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</si>
  <si>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</si>
  <si>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</si>
  <si>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</si>
  <si>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</si>
  <si>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</si>
  <si>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</si>
  <si>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</si>
  <si>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</si>
  <si>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</si>
  <si>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</si>
  <si>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</si>
  <si>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</si>
  <si>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</si>
  <si>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</si>
  <si>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</si>
  <si>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</si>
  <si>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</si>
  <si>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</si>
  <si>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</si>
  <si>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</si>
  <si>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</si>
  <si>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</si>
  <si>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</si>
  <si>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</si>
  <si>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</si>
  <si>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</si>
  <si>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</si>
  <si>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</si>
  <si>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</si>
  <si>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</si>
  <si>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</si>
  <si>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</si>
  <si>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</si>
  <si>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</si>
  <si>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</si>
  <si>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</si>
  <si>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</si>
  <si>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</si>
  <si>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</si>
  <si>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</si>
  <si>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</si>
  <si>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</si>
  <si>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</si>
  <si>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</si>
  <si>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</si>
  <si>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</si>
  <si>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</si>
  <si>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</si>
  <si>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</si>
  <si>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</si>
  <si>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</si>
  <si>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</si>
  <si>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</si>
  <si>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</si>
  <si>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</si>
  <si>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</si>
  <si>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</si>
  <si>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</si>
  <si>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</si>
  <si>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</si>
  <si>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</si>
  <si>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</si>
  <si>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</si>
  <si>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</si>
  <si>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</si>
  <si>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</si>
  <si>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</si>
  <si>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</si>
  <si>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</si>
  <si>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</si>
  <si>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</si>
  <si>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</si>
  <si>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</si>
  <si>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</si>
  <si>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</si>
  <si>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</si>
  <si>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</si>
  <si>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</si>
  <si>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</si>
  <si>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</si>
  <si>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</si>
  <si>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</si>
  <si>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</si>
  <si>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</si>
  <si>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</si>
  <si>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</si>
  <si>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</si>
  <si>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</si>
  <si>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</si>
  <si>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</si>
  <si>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</si>
  <si>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</si>
  <si>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</si>
  <si>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</si>
  <si>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</si>
  <si>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</si>
  <si>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</si>
  <si>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</si>
  <si>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</si>
  <si>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</si>
  <si>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</si>
  <si>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</si>
  <si>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</si>
  <si>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</si>
  <si>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</si>
  <si>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</si>
  <si>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</si>
  <si>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</si>
  <si>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</si>
  <si>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</si>
  <si>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</si>
  <si>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</si>
  <si>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</si>
  <si>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</si>
  <si>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</si>
  <si>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</si>
  <si>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</si>
  <si>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</si>
  <si>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</si>
  <si>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</si>
  <si>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</si>
  <si>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</si>
  <si>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</si>
  <si>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</si>
  <si>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</si>
  <si>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</si>
  <si>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</si>
  <si>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</si>
  <si>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</si>
  <si>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</si>
  <si>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</si>
  <si>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</si>
  <si>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</si>
  <si>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</si>
  <si>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</si>
  <si>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</si>
  <si>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</si>
  <si>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</si>
  <si>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</si>
  <si>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</si>
  <si>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</si>
  <si>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</si>
  <si>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</si>
  <si>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</si>
  <si>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</si>
  <si>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</si>
  <si>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</si>
  <si>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</si>
  <si>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</si>
  <si>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</si>
  <si>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</si>
  <si>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</si>
  <si>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</si>
  <si>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</si>
  <si>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</si>
  <si>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</si>
  <si>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</si>
  <si>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</si>
  <si>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</si>
  <si>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</si>
  <si>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</si>
  <si>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</si>
  <si>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</si>
  <si>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</si>
  <si>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</si>
  <si>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</si>
  <si>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</si>
  <si>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</si>
  <si>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</si>
  <si>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</si>
  <si>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</si>
  <si>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</si>
  <si>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</si>
  <si>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</si>
  <si>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</si>
  <si>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</si>
  <si>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</si>
  <si>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</si>
  <si>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</si>
  <si>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</si>
  <si>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</si>
  <si>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</si>
  <si>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</si>
  <si>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</si>
  <si>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</si>
  <si>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</si>
  <si>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</si>
  <si>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</si>
  <si>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</si>
  <si>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</si>
  <si>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</si>
  <si>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</si>
  <si>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</si>
  <si>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</si>
  <si>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</si>
  <si>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</si>
  <si>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</si>
  <si>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</si>
  <si>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</si>
  <si>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</si>
  <si>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</si>
  <si>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</si>
  <si>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</si>
  <si>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</si>
  <si>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</si>
  <si>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</si>
  <si>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</si>
  <si>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</si>
  <si>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</si>
  <si>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</si>
  <si>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</si>
  <si>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</si>
  <si>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</si>
  <si>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</si>
  <si>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</si>
  <si>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</si>
  <si>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</si>
  <si>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</si>
  <si>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</si>
  <si>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</si>
  <si>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</si>
  <si>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</si>
  <si>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</si>
  <si>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</si>
  <si>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</si>
  <si>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</si>
  <si>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</si>
  <si>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</si>
  <si>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</si>
  <si>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</si>
  <si>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</si>
  <si>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</si>
  <si>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</si>
  <si>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</si>
  <si>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</si>
  <si>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</si>
  <si>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</si>
  <si>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</si>
  <si>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</si>
  <si>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</si>
  <si>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</si>
  <si>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</si>
  <si>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</si>
  <si>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</si>
  <si>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</si>
  <si>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</si>
  <si>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</si>
  <si>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</si>
  <si>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</si>
  <si>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</si>
  <si>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</si>
  <si>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</si>
  <si>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</si>
  <si>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</si>
  <si>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</si>
  <si>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</si>
  <si>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</si>
  <si>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</si>
  <si>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</si>
  <si>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</si>
  <si>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</si>
  <si>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</si>
  <si>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</si>
  <si>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</si>
  <si>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</si>
  <si>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</si>
  <si>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</si>
  <si>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</si>
  <si>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</si>
  <si>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</si>
  <si>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</si>
  <si>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</si>
  <si>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</si>
  <si>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</si>
  <si>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</si>
  <si>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</si>
  <si>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</si>
  <si>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</si>
  <si>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</si>
  <si>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</si>
  <si>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</si>
  <si>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</si>
  <si>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</si>
  <si>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</si>
  <si>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</si>
  <si>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</si>
  <si>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</si>
  <si>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</si>
  <si>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</si>
  <si>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</si>
  <si>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</si>
  <si>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</si>
  <si>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</si>
  <si>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</si>
  <si>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</si>
  <si>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</si>
  <si>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</si>
  <si>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</si>
  <si>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</si>
  <si>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</si>
  <si>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</si>
  <si>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</si>
  <si>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</si>
  <si>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</si>
  <si>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</si>
  <si>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</si>
  <si>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</si>
  <si>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</si>
  <si>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</si>
  <si>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</si>
  <si>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</si>
  <si>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</si>
  <si>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</si>
  <si>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</si>
  <si>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</si>
  <si>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</si>
  <si>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</si>
  <si>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</si>
  <si>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</si>
  <si>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</si>
  <si>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</si>
  <si>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</si>
  <si>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</si>
  <si>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</si>
  <si>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</si>
  <si>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</si>
  <si>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</si>
  <si>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</si>
  <si>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</si>
  <si>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</si>
  <si>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</si>
  <si>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</si>
  <si>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</si>
  <si>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</si>
  <si>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</si>
  <si>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</si>
  <si>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</si>
  <si>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</si>
  <si>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</si>
  <si>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</si>
  <si>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</si>
  <si>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</si>
  <si>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</si>
  <si>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</si>
  <si>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</si>
  <si>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</si>
  <si>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</si>
  <si>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</si>
  <si>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</si>
  <si>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</si>
  <si>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</si>
  <si>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</si>
  <si>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</si>
  <si>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</si>
  <si>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</si>
  <si>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</si>
  <si>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</si>
  <si>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</si>
  <si>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</si>
  <si>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</si>
  <si>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</si>
  <si>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</si>
  <si>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</si>
  <si>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</si>
  <si>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</si>
  <si>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</si>
  <si>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</si>
  <si>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</si>
  <si>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</si>
  <si>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</si>
  <si>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</si>
  <si>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</si>
  <si>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</si>
  <si>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</si>
  <si>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</si>
  <si>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</si>
  <si>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</si>
  <si>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</si>
  <si>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</si>
  <si>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</si>
  <si>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</si>
  <si>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</si>
  <si>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</si>
  <si>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</si>
  <si>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</si>
  <si>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</si>
  <si>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</si>
  <si>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</si>
  <si>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</si>
  <si>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</si>
  <si>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</si>
  <si>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</si>
  <si>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</si>
  <si>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</si>
  <si>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</si>
  <si>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</si>
  <si>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</si>
  <si>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</si>
  <si>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</si>
  <si>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</si>
  <si>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</si>
  <si>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</si>
  <si>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</si>
  <si>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</si>
  <si>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</si>
  <si>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</si>
  <si>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</si>
  <si>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</si>
  <si>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</si>
  <si>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</si>
  <si>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</si>
  <si>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</si>
  <si>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</si>
  <si>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</si>
  <si>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</si>
  <si>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</si>
  <si>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</si>
  <si>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</si>
  <si>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</si>
  <si>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</si>
  <si>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</si>
  <si>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</si>
  <si>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</si>
  <si>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</si>
  <si>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</si>
  <si>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</si>
  <si>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</si>
  <si>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</si>
  <si>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</si>
  <si>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</si>
  <si>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</si>
  <si>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</si>
  <si>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</si>
  <si>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</si>
  <si>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</si>
  <si>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</si>
  <si>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</si>
  <si>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</si>
  <si>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</si>
  <si>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</si>
  <si>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</si>
  <si>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</si>
  <si>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</si>
  <si>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</si>
  <si>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</si>
  <si>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</si>
  <si>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</si>
  <si>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</si>
  <si>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</si>
  <si>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</si>
  <si>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</si>
  <si>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</si>
  <si>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</si>
  <si>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</si>
  <si>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</si>
  <si>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</si>
  <si>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</si>
  <si>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</si>
  <si>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</si>
  <si>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</si>
  <si>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</si>
  <si>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</si>
  <si>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</si>
  <si>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LAFAYETTE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</si>
</sst>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40" fontId="0" fillId="5" borderId="0" xfId="0" applyNumberFormat="1" applyFill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597" sqref="H5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40706.75</v>
      </c>
      <c r="G9" s="18">
        <v>0</v>
      </c>
      <c r="H9" s="18">
        <v>0</v>
      </c>
      <c r="I9" s="18">
        <v>0</v>
      </c>
      <c r="J9" s="67">
        <f>SUM(I439)</f>
        <v>245614.93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14042.58</v>
      </c>
      <c r="G12" s="18">
        <v>-6855.08</v>
      </c>
      <c r="H12" s="18">
        <v>-7187.5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4878.83</v>
      </c>
      <c r="H13" s="18">
        <v>7187.5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1337.69</v>
      </c>
      <c r="G14" s="18">
        <v>1976.25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56087.020000000004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245614.93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5076.78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5076.78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245614.93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51010.239999999998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51010.239999999998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245614.93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56087.02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245614.93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1720668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1720668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366.76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22241.35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19616.490000000002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19983.25</v>
      </c>
      <c r="G111" s="41">
        <f>SUM(G96:G110)</f>
        <v>22241.35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1740651.25</v>
      </c>
      <c r="G112" s="41">
        <f>G60+G111</f>
        <v>22241.35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680502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680502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540.69000000000005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540.69000000000005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680502</v>
      </c>
      <c r="G140" s="41">
        <f>G121+SUM(G136:G137)</f>
        <v>540.69000000000005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0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14369.26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16544.2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12008.83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25295.4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12008.83</v>
      </c>
      <c r="H162" s="41">
        <f>SUM(H150:H161)</f>
        <v>56208.86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50000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20871.400000000001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70871.399999999994</v>
      </c>
      <c r="G169" s="41">
        <f>G147+G162+SUM(G163:G168)</f>
        <v>12008.83</v>
      </c>
      <c r="H169" s="41">
        <f>H147+H162+SUM(H163:H168)</f>
        <v>56208.86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15063.53</v>
      </c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15063.53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30000</v>
      </c>
      <c r="G192" s="41">
        <f>G183+SUM(G188:G191)</f>
        <v>15063.53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2522024.65</v>
      </c>
      <c r="G193" s="47">
        <f>G112+G140+G169+G192</f>
        <v>49854.399999999994</v>
      </c>
      <c r="H193" s="47">
        <f>H112+H140+H169+H192</f>
        <v>56208.86</v>
      </c>
      <c r="I193" s="47">
        <f>I112+I140+I169+I192</f>
        <v>0</v>
      </c>
      <c r="J193" s="47">
        <f>J112+J140+J192</f>
        <v>60000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682966.67</v>
      </c>
      <c r="G197" s="18">
        <v>281965.03000000003</v>
      </c>
      <c r="H197" s="18">
        <v>0</v>
      </c>
      <c r="I197" s="18">
        <v>21589.97</v>
      </c>
      <c r="J197" s="18">
        <v>45240.86</v>
      </c>
      <c r="K197" s="18"/>
      <c r="L197" s="19">
        <f>SUM(F197:K197)</f>
        <v>1031762.53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188062.09</v>
      </c>
      <c r="G198" s="18">
        <v>92223.14</v>
      </c>
      <c r="H198" s="18">
        <v>3940</v>
      </c>
      <c r="I198" s="18">
        <v>1914.04</v>
      </c>
      <c r="J198" s="18">
        <v>500</v>
      </c>
      <c r="K198" s="18"/>
      <c r="L198" s="19">
        <f>SUM(F198:K198)</f>
        <v>286639.26999999996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4295</v>
      </c>
      <c r="G200" s="18">
        <v>783.21</v>
      </c>
      <c r="H200" s="18">
        <v>0</v>
      </c>
      <c r="I200" s="18"/>
      <c r="J200" s="18"/>
      <c r="K200" s="18">
        <v>2191.0700000000002</v>
      </c>
      <c r="L200" s="19">
        <f>SUM(F200:K200)</f>
        <v>7269.2800000000007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76934.75</v>
      </c>
      <c r="G202" s="18">
        <v>27699.71</v>
      </c>
      <c r="H202" s="18">
        <v>110968.66</v>
      </c>
      <c r="I202" s="18">
        <v>625.34</v>
      </c>
      <c r="J202" s="18"/>
      <c r="K202" s="18"/>
      <c r="L202" s="19">
        <f t="shared" ref="L202:L208" si="0">SUM(F202:K202)</f>
        <v>216228.46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70659.28</v>
      </c>
      <c r="G203" s="18">
        <v>21351.82</v>
      </c>
      <c r="H203" s="18"/>
      <c r="I203" s="18">
        <v>4298.53</v>
      </c>
      <c r="J203" s="18"/>
      <c r="K203" s="18">
        <v>21848</v>
      </c>
      <c r="L203" s="19">
        <f t="shared" si="0"/>
        <v>118157.63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1625</v>
      </c>
      <c r="G204" s="18">
        <v>216.24</v>
      </c>
      <c r="H204" s="18">
        <v>165975.95000000001</v>
      </c>
      <c r="I204" s="18">
        <v>0</v>
      </c>
      <c r="J204" s="18"/>
      <c r="K204" s="18">
        <v>5136.42</v>
      </c>
      <c r="L204" s="19">
        <f t="shared" si="0"/>
        <v>172953.61000000002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125591</v>
      </c>
      <c r="G205" s="18">
        <v>51044.79</v>
      </c>
      <c r="H205" s="18">
        <v>14701.12</v>
      </c>
      <c r="I205" s="18">
        <v>9519.2900000000009</v>
      </c>
      <c r="J205" s="18"/>
      <c r="K205" s="18"/>
      <c r="L205" s="19">
        <f t="shared" si="0"/>
        <v>200856.2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66265.440000000002</v>
      </c>
      <c r="G207" s="18">
        <v>24512.84</v>
      </c>
      <c r="H207" s="18">
        <v>64114.25</v>
      </c>
      <c r="I207" s="18">
        <v>73247.91</v>
      </c>
      <c r="J207" s="18">
        <v>3641.13</v>
      </c>
      <c r="K207" s="18">
        <v>322.87</v>
      </c>
      <c r="L207" s="19">
        <f t="shared" si="0"/>
        <v>232104.44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134351.54999999999</v>
      </c>
      <c r="I208" s="18"/>
      <c r="J208" s="18"/>
      <c r="K208" s="18"/>
      <c r="L208" s="19">
        <f t="shared" si="0"/>
        <v>134351.54999999999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1216399.23</v>
      </c>
      <c r="G211" s="41">
        <f t="shared" si="1"/>
        <v>499796.78000000009</v>
      </c>
      <c r="H211" s="41">
        <f t="shared" si="1"/>
        <v>494051.52999999997</v>
      </c>
      <c r="I211" s="41">
        <f t="shared" si="1"/>
        <v>111195.08</v>
      </c>
      <c r="J211" s="41">
        <f t="shared" si="1"/>
        <v>49381.99</v>
      </c>
      <c r="K211" s="41">
        <f t="shared" si="1"/>
        <v>29498.359999999997</v>
      </c>
      <c r="L211" s="41">
        <f t="shared" si="1"/>
        <v>2400322.9699999997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1216399.23</v>
      </c>
      <c r="G257" s="41">
        <f t="shared" si="8"/>
        <v>499796.78000000009</v>
      </c>
      <c r="H257" s="41">
        <f t="shared" si="8"/>
        <v>494051.52999999997</v>
      </c>
      <c r="I257" s="41">
        <f t="shared" si="8"/>
        <v>111195.08</v>
      </c>
      <c r="J257" s="41">
        <f t="shared" si="8"/>
        <v>49381.99</v>
      </c>
      <c r="K257" s="41">
        <f t="shared" si="8"/>
        <v>29498.359999999997</v>
      </c>
      <c r="L257" s="41">
        <f t="shared" si="8"/>
        <v>2400322.9699999997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15063.53</v>
      </c>
      <c r="L263" s="19">
        <f>SUM(F263:K263)</f>
        <v>15063.53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75063.53</v>
      </c>
      <c r="L270" s="41">
        <f t="shared" si="9"/>
        <v>75063.53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1216399.23</v>
      </c>
      <c r="G271" s="42">
        <f t="shared" si="11"/>
        <v>499796.78000000009</v>
      </c>
      <c r="H271" s="42">
        <f t="shared" si="11"/>
        <v>494051.52999999997</v>
      </c>
      <c r="I271" s="42">
        <f t="shared" si="11"/>
        <v>111195.08</v>
      </c>
      <c r="J271" s="42">
        <f t="shared" si="11"/>
        <v>49381.99</v>
      </c>
      <c r="K271" s="42">
        <f t="shared" si="11"/>
        <v>104561.89</v>
      </c>
      <c r="L271" s="42">
        <f t="shared" si="11"/>
        <v>2475386.4999999995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34064</v>
      </c>
      <c r="G277" s="18">
        <v>1719</v>
      </c>
      <c r="H277" s="18">
        <v>0</v>
      </c>
      <c r="I277" s="18"/>
      <c r="J277" s="18"/>
      <c r="K277" s="18">
        <v>1112.4000000000001</v>
      </c>
      <c r="L277" s="19">
        <f>SUM(F277:K277)</f>
        <v>36895.4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7864.1</v>
      </c>
      <c r="I281" s="18">
        <v>0</v>
      </c>
      <c r="J281" s="18"/>
      <c r="K281" s="18">
        <v>6555.64</v>
      </c>
      <c r="L281" s="19">
        <f t="shared" ref="L281:L287" si="12">SUM(F281:K281)</f>
        <v>14419.740000000002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>
        <v>4893.72</v>
      </c>
      <c r="J282" s="18"/>
      <c r="K282" s="18"/>
      <c r="L282" s="19">
        <f t="shared" si="12"/>
        <v>4893.72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34064</v>
      </c>
      <c r="G290" s="42">
        <f t="shared" si="13"/>
        <v>1719</v>
      </c>
      <c r="H290" s="42">
        <f t="shared" si="13"/>
        <v>7864.1</v>
      </c>
      <c r="I290" s="42">
        <f t="shared" si="13"/>
        <v>4893.72</v>
      </c>
      <c r="J290" s="42">
        <f t="shared" si="13"/>
        <v>0</v>
      </c>
      <c r="K290" s="42">
        <f t="shared" si="13"/>
        <v>7668.0400000000009</v>
      </c>
      <c r="L290" s="41">
        <f t="shared" si="13"/>
        <v>56208.86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34064</v>
      </c>
      <c r="G338" s="41">
        <f t="shared" si="20"/>
        <v>1719</v>
      </c>
      <c r="H338" s="41">
        <f t="shared" si="20"/>
        <v>7864.1</v>
      </c>
      <c r="I338" s="41">
        <f t="shared" si="20"/>
        <v>4893.72</v>
      </c>
      <c r="J338" s="41">
        <f t="shared" si="20"/>
        <v>0</v>
      </c>
      <c r="K338" s="41">
        <f t="shared" si="20"/>
        <v>7668.0400000000009</v>
      </c>
      <c r="L338" s="41">
        <f t="shared" si="20"/>
        <v>56208.86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34064</v>
      </c>
      <c r="G352" s="41">
        <f>G338</f>
        <v>1719</v>
      </c>
      <c r="H352" s="41">
        <f>H338</f>
        <v>7864.1</v>
      </c>
      <c r="I352" s="41">
        <f>I338</f>
        <v>4893.72</v>
      </c>
      <c r="J352" s="41">
        <f>J338</f>
        <v>0</v>
      </c>
      <c r="K352" s="47">
        <f>K338+K351</f>
        <v>7668.0400000000009</v>
      </c>
      <c r="L352" s="41">
        <f>L338+L351</f>
        <v>56208.86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49854.400000000001</v>
      </c>
      <c r="I358" s="18"/>
      <c r="J358" s="18"/>
      <c r="K358" s="18"/>
      <c r="L358" s="13">
        <f>SUM(F358:K358)</f>
        <v>49854.400000000001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49854.400000000001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49854.400000000001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60000</v>
      </c>
      <c r="H396" s="18"/>
      <c r="I396" s="18"/>
      <c r="J396" s="24" t="s">
        <v>289</v>
      </c>
      <c r="K396" s="24" t="s">
        <v>289</v>
      </c>
      <c r="L396" s="56">
        <f t="shared" si="26"/>
        <v>60000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30000</v>
      </c>
      <c r="L422" s="56">
        <f t="shared" si="29"/>
        <v>30000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30000</v>
      </c>
      <c r="L427" s="47">
        <f t="shared" si="30"/>
        <v>30000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30000</v>
      </c>
      <c r="L434" s="47">
        <f t="shared" si="32"/>
        <v>30000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161944.07</v>
      </c>
      <c r="G439" s="18">
        <v>83670.86</v>
      </c>
      <c r="H439" s="18"/>
      <c r="I439" s="56">
        <f t="shared" ref="I439:I445" si="33">SUM(F439:H439)</f>
        <v>245614.93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161944.07</v>
      </c>
      <c r="G446" s="13">
        <f>SUM(G439:G445)</f>
        <v>83670.86</v>
      </c>
      <c r="H446" s="13">
        <f>SUM(H439:H445)</f>
        <v>0</v>
      </c>
      <c r="I446" s="13">
        <f>SUM(I439:I445)</f>
        <v>245614.93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161944.07</v>
      </c>
      <c r="G459" s="18">
        <v>83670.86</v>
      </c>
      <c r="H459" s="18"/>
      <c r="I459" s="56">
        <f t="shared" si="34"/>
        <v>245614.93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161944.07</v>
      </c>
      <c r="G460" s="83">
        <f>SUM(G454:G459)</f>
        <v>83670.86</v>
      </c>
      <c r="H460" s="83">
        <f>SUM(H454:H459)</f>
        <v>0</v>
      </c>
      <c r="I460" s="83">
        <f>SUM(I454:I459)</f>
        <v>245614.93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161944.07</v>
      </c>
      <c r="G461" s="42">
        <f>G452+G460</f>
        <v>83670.86</v>
      </c>
      <c r="H461" s="42">
        <f>H452+H460</f>
        <v>0</v>
      </c>
      <c r="I461" s="42">
        <f>I452+I460</f>
        <v>245614.93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4372.09</v>
      </c>
      <c r="G465" s="18">
        <v>0</v>
      </c>
      <c r="H465" s="18">
        <v>0</v>
      </c>
      <c r="I465" s="18">
        <v>0</v>
      </c>
      <c r="J465" s="18">
        <v>211810.11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2522024.65</v>
      </c>
      <c r="G468" s="18">
        <v>49854.400000000001</v>
      </c>
      <c r="H468" s="18">
        <v>56208.86</v>
      </c>
      <c r="I468" s="18"/>
      <c r="J468" s="18">
        <v>60000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3804.82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2522024.65</v>
      </c>
      <c r="G470" s="53">
        <f>SUM(G468:G469)</f>
        <v>49854.400000000001</v>
      </c>
      <c r="H470" s="53">
        <f>SUM(H468:H469)</f>
        <v>56208.86</v>
      </c>
      <c r="I470" s="53">
        <f>SUM(I468:I469)</f>
        <v>0</v>
      </c>
      <c r="J470" s="53">
        <f>SUM(J468:J469)</f>
        <v>63804.82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2475386.5</v>
      </c>
      <c r="G472" s="18">
        <v>49854.400000000001</v>
      </c>
      <c r="H472" s="18">
        <v>56208.86</v>
      </c>
      <c r="I472" s="18"/>
      <c r="J472" s="18">
        <v>30000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2475386.5</v>
      </c>
      <c r="G474" s="53">
        <f>SUM(G472:G473)</f>
        <v>49854.400000000001</v>
      </c>
      <c r="H474" s="53">
        <f>SUM(H472:H473)</f>
        <v>56208.86</v>
      </c>
      <c r="I474" s="53">
        <f>SUM(I472:I473)</f>
        <v>0</v>
      </c>
      <c r="J474" s="53">
        <f>SUM(J472:J473)</f>
        <v>30000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51010.239999999758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245614.93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222126.09</v>
      </c>
      <c r="G521" s="18">
        <v>93942.14</v>
      </c>
      <c r="H521" s="18">
        <v>5204.1000000000004</v>
      </c>
      <c r="I521" s="18">
        <v>1914.04</v>
      </c>
      <c r="J521" s="18">
        <v>500</v>
      </c>
      <c r="K521" s="18"/>
      <c r="L521" s="88">
        <f>SUM(F521:K521)</f>
        <v>323686.36999999994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222126.09</v>
      </c>
      <c r="G524" s="108">
        <f t="shared" ref="G524:L524" si="36">SUM(G521:G523)</f>
        <v>93942.14</v>
      </c>
      <c r="H524" s="108">
        <f t="shared" si="36"/>
        <v>5204.1000000000004</v>
      </c>
      <c r="I524" s="108">
        <f t="shared" si="36"/>
        <v>1914.04</v>
      </c>
      <c r="J524" s="108">
        <f t="shared" si="36"/>
        <v>500</v>
      </c>
      <c r="K524" s="108">
        <f t="shared" si="36"/>
        <v>0</v>
      </c>
      <c r="L524" s="89">
        <f t="shared" si="36"/>
        <v>323686.36999999994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110537.41</v>
      </c>
      <c r="I526" s="18"/>
      <c r="J526" s="18"/>
      <c r="K526" s="18"/>
      <c r="L526" s="88">
        <f>SUM(F526:K526)</f>
        <v>110537.41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110537.41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110537.41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>
        <v>1112.4000000000001</v>
      </c>
      <c r="L531" s="88">
        <f>SUM(F531:K531)</f>
        <v>1112.4000000000001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1112.4000000000001</v>
      </c>
      <c r="L534" s="89">
        <f t="shared" si="38"/>
        <v>1112.4000000000001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222126.09</v>
      </c>
      <c r="G545" s="89">
        <f t="shared" ref="G545:L545" si="41">G524+G529+G534+G539+G544</f>
        <v>93942.14</v>
      </c>
      <c r="H545" s="89">
        <f t="shared" si="41"/>
        <v>115741.51000000001</v>
      </c>
      <c r="I545" s="89">
        <f t="shared" si="41"/>
        <v>1914.04</v>
      </c>
      <c r="J545" s="89">
        <f t="shared" si="41"/>
        <v>500</v>
      </c>
      <c r="K545" s="89">
        <f t="shared" si="41"/>
        <v>1112.4000000000001</v>
      </c>
      <c r="L545" s="89">
        <f t="shared" si="41"/>
        <v>435336.17999999993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323686.36999999994</v>
      </c>
      <c r="G549" s="87">
        <f>L526</f>
        <v>110537.41</v>
      </c>
      <c r="H549" s="87">
        <f>L531</f>
        <v>1112.4000000000001</v>
      </c>
      <c r="I549" s="87">
        <f>L536</f>
        <v>0</v>
      </c>
      <c r="J549" s="87">
        <f>L541</f>
        <v>0</v>
      </c>
      <c r="K549" s="87">
        <f>SUM(F549:J549)</f>
        <v>435336.17999999993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323686.36999999994</v>
      </c>
      <c r="G552" s="89">
        <f t="shared" si="42"/>
        <v>110537.41</v>
      </c>
      <c r="H552" s="89">
        <f t="shared" si="42"/>
        <v>1112.4000000000001</v>
      </c>
      <c r="I552" s="89">
        <f t="shared" si="42"/>
        <v>0</v>
      </c>
      <c r="J552" s="89">
        <f t="shared" si="42"/>
        <v>0</v>
      </c>
      <c r="K552" s="89">
        <f t="shared" si="42"/>
        <v>435336.17999999993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129047.8</v>
      </c>
      <c r="I591" s="18"/>
      <c r="J591" s="18"/>
      <c r="K591" s="104">
        <f t="shared" ref="K591:K597" si="48">SUM(H591:J591)</f>
        <v>129047.8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275">
        <v>5303.75</v>
      </c>
      <c r="I595" s="18"/>
      <c r="J595" s="18"/>
      <c r="K595" s="104">
        <f t="shared" si="48"/>
        <v>5303.75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134351.54999999999</v>
      </c>
      <c r="I598" s="108">
        <f>SUM(I591:I597)</f>
        <v>0</v>
      </c>
      <c r="J598" s="108">
        <f>SUM(J591:J597)</f>
        <v>0</v>
      </c>
      <c r="K598" s="108">
        <f>SUM(K591:K597)</f>
        <v>134351.54999999999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49381.99</v>
      </c>
      <c r="I604" s="18"/>
      <c r="J604" s="18"/>
      <c r="K604" s="104">
        <f>SUM(H604:J604)</f>
        <v>49381.99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49381.99</v>
      </c>
      <c r="I605" s="108">
        <f>SUM(I602:I604)</f>
        <v>0</v>
      </c>
      <c r="J605" s="108">
        <f>SUM(J602:J604)</f>
        <v>0</v>
      </c>
      <c r="K605" s="108">
        <f>SUM(K602:K604)</f>
        <v>49381.99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56087.020000000004</v>
      </c>
      <c r="H617" s="109">
        <f>SUM(F52)</f>
        <v>56087.02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245614.93</v>
      </c>
      <c r="H621" s="109">
        <f>SUM(J52)</f>
        <v>245614.93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51010.239999999998</v>
      </c>
      <c r="H622" s="109">
        <f>F476</f>
        <v>51010.239999999758</v>
      </c>
      <c r="I622" s="121" t="s">
        <v>101</v>
      </c>
      <c r="J622" s="109">
        <f t="shared" ref="J622:J655" si="50">G622-H622</f>
        <v>2.4010660126805305E-10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245614.93</v>
      </c>
      <c r="H626" s="109">
        <f>J476</f>
        <v>245614.93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2522024.65</v>
      </c>
      <c r="H627" s="104">
        <f>SUM(F468)</f>
        <v>2522024.65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49854.399999999994</v>
      </c>
      <c r="H628" s="104">
        <f>SUM(G468)</f>
        <v>49854.400000000001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56208.86</v>
      </c>
      <c r="H629" s="104">
        <f>SUM(H468)</f>
        <v>56208.86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60000</v>
      </c>
      <c r="H631" s="104">
        <f>SUM(J468)</f>
        <v>60000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2475386.4999999995</v>
      </c>
      <c r="H632" s="104">
        <f>SUM(F472)</f>
        <v>2475386.5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56208.86</v>
      </c>
      <c r="H633" s="104">
        <f>SUM(H472)</f>
        <v>56208.86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49854.400000000001</v>
      </c>
      <c r="H635" s="104">
        <f>SUM(G472)</f>
        <v>49854.400000000001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60000</v>
      </c>
      <c r="H637" s="164">
        <f>SUM(J468)</f>
        <v>60000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30000</v>
      </c>
      <c r="H638" s="164">
        <f>SUM(J472)</f>
        <v>30000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161944.07</v>
      </c>
      <c r="H639" s="104">
        <f>SUM(F461)</f>
        <v>161944.07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83670.86</v>
      </c>
      <c r="H640" s="104">
        <f>SUM(G461)</f>
        <v>83670.86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245614.93</v>
      </c>
      <c r="H642" s="104">
        <f>SUM(I461)</f>
        <v>245614.93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60000</v>
      </c>
      <c r="H646" s="104">
        <f>L408</f>
        <v>60000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134351.54999999999</v>
      </c>
      <c r="H647" s="104">
        <f>L208+L226+L244</f>
        <v>134351.54999999999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49381.99</v>
      </c>
      <c r="H648" s="104">
        <f>(J257+J338)-(J255+J336)</f>
        <v>49381.99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134351.54999999999</v>
      </c>
      <c r="H649" s="104">
        <f>H598</f>
        <v>134351.54999999999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15063.53</v>
      </c>
      <c r="H652" s="104">
        <f>K263+K345</f>
        <v>15063.53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2506386.2299999995</v>
      </c>
      <c r="G660" s="19">
        <f>(L229+L309+L359)</f>
        <v>0</v>
      </c>
      <c r="H660" s="19">
        <f>(L247+L328+L360)</f>
        <v>0</v>
      </c>
      <c r="I660" s="19">
        <f>SUM(F660:H660)</f>
        <v>2506386.2299999995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22241.35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22241.35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134351.54999999999</v>
      </c>
      <c r="G662" s="19">
        <f>(L226+L306)-(J226+J306)</f>
        <v>0</v>
      </c>
      <c r="H662" s="19">
        <f>(L244+L325)-(J244+J325)</f>
        <v>0</v>
      </c>
      <c r="I662" s="19">
        <f>SUM(F662:H662)</f>
        <v>134351.54999999999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49381.99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49381.99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2300411.3399999994</v>
      </c>
      <c r="G664" s="19">
        <f>G660-SUM(G661:G663)</f>
        <v>0</v>
      </c>
      <c r="H664" s="19">
        <f>H660-SUM(H661:H663)</f>
        <v>0</v>
      </c>
      <c r="I664" s="19">
        <f>I660-SUM(I661:I663)</f>
        <v>2300411.3399999994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113.04</v>
      </c>
      <c r="G665" s="248"/>
      <c r="H665" s="248"/>
      <c r="I665" s="19">
        <f>SUM(F665:H665)</f>
        <v>113.04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20350.419999999998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20350.419999999998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20350.419999999998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20350.419999999998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LAFAYETTE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682966.67</v>
      </c>
      <c r="C9" s="229">
        <f>'DOE25'!G197+'DOE25'!G215+'DOE25'!G233+'DOE25'!G276+'DOE25'!G295+'DOE25'!G314</f>
        <v>281965.03000000003</v>
      </c>
    </row>
    <row r="10" spans="1:3" x14ac:dyDescent="0.2">
      <c r="A10" t="s">
        <v>779</v>
      </c>
      <c r="B10" s="240">
        <v>653695.06999999995</v>
      </c>
      <c r="C10" s="240">
        <v>271184.65999999997</v>
      </c>
    </row>
    <row r="11" spans="1:3" x14ac:dyDescent="0.2">
      <c r="A11" t="s">
        <v>780</v>
      </c>
      <c r="B11" s="240">
        <v>14619.1</v>
      </c>
      <c r="C11" s="240">
        <v>9659.4500000000007</v>
      </c>
    </row>
    <row r="12" spans="1:3" x14ac:dyDescent="0.2">
      <c r="A12" t="s">
        <v>781</v>
      </c>
      <c r="B12" s="240">
        <v>14652.5</v>
      </c>
      <c r="C12" s="240">
        <v>1120.92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682966.66999999993</v>
      </c>
      <c r="C13" s="231">
        <f>SUM(C10:C12)</f>
        <v>281965.02999999997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222126.09</v>
      </c>
      <c r="C18" s="229">
        <f>'DOE25'!G198+'DOE25'!G216+'DOE25'!G234+'DOE25'!G277+'DOE25'!G296+'DOE25'!G315</f>
        <v>93942.14</v>
      </c>
    </row>
    <row r="19" spans="1:3" x14ac:dyDescent="0.2">
      <c r="A19" t="s">
        <v>779</v>
      </c>
      <c r="B19" s="240">
        <v>138788.12</v>
      </c>
      <c r="C19" s="240">
        <v>32029.89</v>
      </c>
    </row>
    <row r="20" spans="1:3" x14ac:dyDescent="0.2">
      <c r="A20" t="s">
        <v>780</v>
      </c>
      <c r="B20" s="240">
        <v>83337.97</v>
      </c>
      <c r="C20" s="240">
        <v>61912.25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222126.09</v>
      </c>
      <c r="C22" s="231">
        <f>SUM(C19:C21)</f>
        <v>93942.14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4295</v>
      </c>
      <c r="C36" s="235">
        <f>'DOE25'!G200+'DOE25'!G218+'DOE25'!G236+'DOE25'!G279+'DOE25'!G298+'DOE25'!G317</f>
        <v>783.21</v>
      </c>
    </row>
    <row r="37" spans="1:3" x14ac:dyDescent="0.2">
      <c r="A37" t="s">
        <v>779</v>
      </c>
      <c r="B37" s="240">
        <v>4295</v>
      </c>
      <c r="C37" s="240">
        <v>783.21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4295</v>
      </c>
      <c r="C40" s="231">
        <f>SUM(C37:C39)</f>
        <v>783.21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LAFAYETTE REGIONAL SCHOOL DISTRICT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1325671.08</v>
      </c>
      <c r="D5" s="20">
        <f>SUM('DOE25'!L197:L200)+SUM('DOE25'!L215:L218)+SUM('DOE25'!L233:L236)-F5-G5</f>
        <v>1277739.1499999999</v>
      </c>
      <c r="E5" s="243"/>
      <c r="F5" s="255">
        <f>SUM('DOE25'!J197:J200)+SUM('DOE25'!J215:J218)+SUM('DOE25'!J233:J236)</f>
        <v>45740.86</v>
      </c>
      <c r="G5" s="53">
        <f>SUM('DOE25'!K197:K200)+SUM('DOE25'!K215:K218)+SUM('DOE25'!K233:K236)</f>
        <v>2191.0700000000002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216228.46</v>
      </c>
      <c r="D6" s="20">
        <f>'DOE25'!L202+'DOE25'!L220+'DOE25'!L238-F6-G6</f>
        <v>216228.46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118157.63</v>
      </c>
      <c r="D7" s="20">
        <f>'DOE25'!L203+'DOE25'!L221+'DOE25'!L239-F7-G7</f>
        <v>96309.63</v>
      </c>
      <c r="E7" s="243"/>
      <c r="F7" s="255">
        <f>'DOE25'!J203+'DOE25'!J221+'DOE25'!J239</f>
        <v>0</v>
      </c>
      <c r="G7" s="53">
        <f>'DOE25'!K203+'DOE25'!K221+'DOE25'!K239</f>
        <v>21848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128489.00000000001</v>
      </c>
      <c r="D8" s="243"/>
      <c r="E8" s="20">
        <f>'DOE25'!L204+'DOE25'!L222+'DOE25'!L240-F8-G8-D9-D11</f>
        <v>123352.58000000002</v>
      </c>
      <c r="F8" s="255">
        <f>'DOE25'!J204+'DOE25'!J222+'DOE25'!J240</f>
        <v>0</v>
      </c>
      <c r="G8" s="53">
        <f>'DOE25'!K204+'DOE25'!K222+'DOE25'!K240</f>
        <v>5136.42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17957.61</v>
      </c>
      <c r="D9" s="276">
        <v>17957.61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8796</v>
      </c>
      <c r="D10" s="243"/>
      <c r="E10" s="244">
        <v>8796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26507</v>
      </c>
      <c r="D11" s="276">
        <v>26507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200856.2</v>
      </c>
      <c r="D12" s="20">
        <f>'DOE25'!L205+'DOE25'!L223+'DOE25'!L241-F12-G12</f>
        <v>200856.2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232104.44</v>
      </c>
      <c r="D14" s="20">
        <f>'DOE25'!L207+'DOE25'!L225+'DOE25'!L243-F14-G14</f>
        <v>228140.44</v>
      </c>
      <c r="E14" s="243"/>
      <c r="F14" s="255">
        <f>'DOE25'!J207+'DOE25'!J225+'DOE25'!J243</f>
        <v>3641.13</v>
      </c>
      <c r="G14" s="53">
        <f>'DOE25'!K207+'DOE25'!K225+'DOE25'!K243</f>
        <v>322.87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134351.54999999999</v>
      </c>
      <c r="D15" s="20">
        <f>'DOE25'!L208+'DOE25'!L226+'DOE25'!L244-F15-G15</f>
        <v>134351.54999999999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49854.400000000001</v>
      </c>
      <c r="D29" s="20">
        <f>'DOE25'!L358+'DOE25'!L359+'DOE25'!L360-'DOE25'!I367-F29-G29</f>
        <v>49854.400000000001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56208.86</v>
      </c>
      <c r="D31" s="20">
        <f>'DOE25'!L290+'DOE25'!L309+'DOE25'!L328+'DOE25'!L333+'DOE25'!L334+'DOE25'!L335-F31-G31</f>
        <v>48540.82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7668.0400000000009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2296485.2599999993</v>
      </c>
      <c r="E33" s="246">
        <f>SUM(E5:E31)</f>
        <v>132148.58000000002</v>
      </c>
      <c r="F33" s="246">
        <f>SUM(F5:F31)</f>
        <v>49381.99</v>
      </c>
      <c r="G33" s="246">
        <f>SUM(G5:G31)</f>
        <v>37166.399999999994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132148.58000000002</v>
      </c>
      <c r="E35" s="249"/>
    </row>
    <row r="36" spans="2:8" ht="12" thickTop="1" x14ac:dyDescent="0.2">
      <c r="B36" t="s">
        <v>815</v>
      </c>
      <c r="D36" s="20">
        <f>D33</f>
        <v>2296485.2599999993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3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40706.75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245614.93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14042.58</v>
      </c>
      <c r="D11" s="95">
        <f>'DOE25'!G12</f>
        <v>-6855.08</v>
      </c>
      <c r="E11" s="95">
        <f>'DOE25'!H12</f>
        <v>-7187.5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4878.83</v>
      </c>
      <c r="E12" s="95">
        <f>'DOE25'!H13</f>
        <v>7187.5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1337.69</v>
      </c>
      <c r="D13" s="95">
        <f>'DOE25'!G14</f>
        <v>1976.25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56087.020000000004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245614.93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5076.78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5076.78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245614.93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51010.239999999998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51010.239999999998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245614.93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56087.02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245614.93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1720668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366.76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22241.35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19616.490000000002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19983.25</v>
      </c>
      <c r="D62" s="130">
        <f>SUM(D57:D61)</f>
        <v>22241.35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1740651.25</v>
      </c>
      <c r="D63" s="22">
        <f>D56+D62</f>
        <v>22241.35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680502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680502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540.69000000000005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540.69000000000005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680502</v>
      </c>
      <c r="D81" s="130">
        <f>SUM(D79:D80)+D78+D70</f>
        <v>540.69000000000005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12008.83</v>
      </c>
      <c r="E88" s="95">
        <f>SUM('DOE25'!H153:H161)</f>
        <v>56208.86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50000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20871.400000000001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70871.399999999994</v>
      </c>
      <c r="D91" s="131">
        <f>SUM(D85:D90)</f>
        <v>12008.83</v>
      </c>
      <c r="E91" s="131">
        <f>SUM(E85:E90)</f>
        <v>56208.86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15063.53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30000</v>
      </c>
      <c r="D103" s="86">
        <f>SUM(D93:D102)</f>
        <v>15063.53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2522024.65</v>
      </c>
      <c r="D104" s="86">
        <f>D63+D81+D91+D103</f>
        <v>49854.399999999994</v>
      </c>
      <c r="E104" s="86">
        <f>E63+E81+E91+E103</f>
        <v>56208.86</v>
      </c>
      <c r="F104" s="86">
        <f>F63+F81+F91+F103</f>
        <v>0</v>
      </c>
      <c r="G104" s="86">
        <f>G63+G81+G103</f>
        <v>60000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1031762.53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286639.26999999996</v>
      </c>
      <c r="D110" s="24" t="s">
        <v>289</v>
      </c>
      <c r="E110" s="95">
        <f>('DOE25'!L277)+('DOE25'!L296)+('DOE25'!L315)</f>
        <v>36895.4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7269.2800000000007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1325671.08</v>
      </c>
      <c r="D115" s="86">
        <f>SUM(D109:D114)</f>
        <v>0</v>
      </c>
      <c r="E115" s="86">
        <f>SUM(E109:E114)</f>
        <v>36895.4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216228.46</v>
      </c>
      <c r="D118" s="24" t="s">
        <v>289</v>
      </c>
      <c r="E118" s="95">
        <f>+('DOE25'!L281)+('DOE25'!L300)+('DOE25'!L319)</f>
        <v>14419.740000000002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118157.63</v>
      </c>
      <c r="D119" s="24" t="s">
        <v>289</v>
      </c>
      <c r="E119" s="95">
        <f>+('DOE25'!L282)+('DOE25'!L301)+('DOE25'!L320)</f>
        <v>4893.72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172953.61000000002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200856.2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232104.44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134351.54999999999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49854.400000000001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1074651.8899999999</v>
      </c>
      <c r="D128" s="86">
        <f>SUM(D118:D127)</f>
        <v>49854.400000000001</v>
      </c>
      <c r="E128" s="86">
        <f>SUM(E118:E127)</f>
        <v>19313.460000000003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30000</v>
      </c>
    </row>
    <row r="135" spans="1:7" x14ac:dyDescent="0.2">
      <c r="A135" t="s">
        <v>233</v>
      </c>
      <c r="B135" s="32" t="s">
        <v>234</v>
      </c>
      <c r="C135" s="95">
        <f>'DOE25'!L263</f>
        <v>15063.53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75063.53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30000</v>
      </c>
    </row>
    <row r="145" spans="1:9" ht="12.75" thickTop="1" thickBot="1" x14ac:dyDescent="0.25">
      <c r="A145" s="33" t="s">
        <v>244</v>
      </c>
      <c r="C145" s="86">
        <f>(C115+C128+C144)</f>
        <v>2475386.4999999995</v>
      </c>
      <c r="D145" s="86">
        <f>(D115+D128+D144)</f>
        <v>49854.400000000001</v>
      </c>
      <c r="E145" s="86">
        <f>(E115+E128+E144)</f>
        <v>56208.86</v>
      </c>
      <c r="F145" s="86">
        <f>(F115+F128+F144)</f>
        <v>0</v>
      </c>
      <c r="G145" s="86">
        <f>(G115+G128+G144)</f>
        <v>30000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LAFAYETTE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20350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20350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1031763</v>
      </c>
      <c r="D10" s="182">
        <f>ROUND((C10/$C$28)*100,1)</f>
        <v>41.5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323535</v>
      </c>
      <c r="D11" s="182">
        <f>ROUND((C11/$C$28)*100,1)</f>
        <v>13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7269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230648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123051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172954</v>
      </c>
      <c r="D17" s="182">
        <f t="shared" si="0"/>
        <v>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200856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232104</v>
      </c>
      <c r="D20" s="182">
        <f t="shared" si="0"/>
        <v>9.3000000000000007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134352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27612.65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2484144.65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2484144.65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1720668</v>
      </c>
      <c r="D35" s="182">
        <f t="shared" ref="D35:D40" si="1">ROUND((C35/$C$41)*100,1)</f>
        <v>67.2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19983.25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680502</v>
      </c>
      <c r="D37" s="182">
        <f t="shared" si="1"/>
        <v>26.6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541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139089</v>
      </c>
      <c r="D39" s="182">
        <f t="shared" si="1"/>
        <v>5.4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2560783.25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9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LAFAYETTE REGIONAL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848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2016-08-23T12:10:52Z</cp:lastPrinted>
  <dcterms:created xsi:type="dcterms:W3CDTF">1997-12-04T19:04:30Z</dcterms:created>
  <dcterms:modified xsi:type="dcterms:W3CDTF">2016-08-23T14:11:43Z</dcterms:modified>
</cp:coreProperties>
</file>