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/>
</workbook>
</file>

<file path=xl/calcChain.xml><?xml version="1.0" encoding="utf-8"?>
<calcChain xmlns="http://schemas.openxmlformats.org/spreadsheetml/2006/main">
  <c r="F50" i="1" l="1"/>
  <c r="F117" i="1" l="1"/>
  <c r="H591" i="1" l="1"/>
  <c r="J591" i="1"/>
  <c r="I591" i="1"/>
  <c r="J604" i="1"/>
  <c r="H592" i="1"/>
  <c r="I592" i="1"/>
  <c r="G223" i="1"/>
  <c r="F223" i="1"/>
  <c r="J203" i="1"/>
  <c r="I203" i="1"/>
  <c r="H203" i="1"/>
  <c r="G203" i="1"/>
  <c r="F203" i="1"/>
  <c r="G205" i="1"/>
  <c r="F205" i="1"/>
  <c r="K205" i="1"/>
  <c r="J205" i="1"/>
  <c r="I205" i="1"/>
  <c r="H205" i="1"/>
  <c r="J223" i="1" l="1"/>
  <c r="I223" i="1"/>
  <c r="H223" i="1"/>
  <c r="I244" i="1"/>
  <c r="H244" i="1"/>
  <c r="G244" i="1"/>
  <c r="F244" i="1"/>
  <c r="K244" i="1"/>
  <c r="J244" i="1"/>
  <c r="I226" i="1"/>
  <c r="H226" i="1"/>
  <c r="G226" i="1"/>
  <c r="F226" i="1"/>
  <c r="J226" i="1"/>
  <c r="K226" i="1"/>
  <c r="I208" i="1"/>
  <c r="H208" i="1"/>
  <c r="G208" i="1"/>
  <c r="F208" i="1"/>
  <c r="K208" i="1"/>
  <c r="J208" i="1"/>
  <c r="F440" i="1"/>
  <c r="F110" i="1" l="1"/>
  <c r="F9" i="1"/>
  <c r="D11" i="13" l="1"/>
  <c r="C10" i="12"/>
  <c r="H315" i="1"/>
  <c r="H296" i="1"/>
  <c r="H282" i="1"/>
  <c r="G276" i="1"/>
  <c r="G277" i="1"/>
  <c r="F277" i="1"/>
  <c r="F276" i="1"/>
  <c r="F233" i="1"/>
  <c r="F215" i="1"/>
  <c r="F197" i="1"/>
  <c r="I215" i="1"/>
  <c r="F216" i="1"/>
  <c r="I197" i="1"/>
  <c r="H197" i="1"/>
  <c r="G197" i="1"/>
  <c r="I282" i="1" l="1"/>
  <c r="K287" i="1"/>
  <c r="I287" i="1"/>
  <c r="G287" i="1"/>
  <c r="F287" i="1"/>
  <c r="I279" i="1"/>
  <c r="H279" i="1"/>
  <c r="G279" i="1"/>
  <c r="F279" i="1"/>
  <c r="I276" i="1"/>
  <c r="B39" i="12" l="1"/>
  <c r="H582" i="1" l="1"/>
  <c r="G582" i="1"/>
  <c r="F582" i="1"/>
  <c r="I604" i="1" l="1"/>
  <c r="H604" i="1"/>
  <c r="I472" i="1" l="1"/>
  <c r="G472" i="1"/>
  <c r="J593" i="1"/>
  <c r="I593" i="1"/>
  <c r="H593" i="1"/>
  <c r="J595" i="1"/>
  <c r="I595" i="1"/>
  <c r="H595" i="1"/>
  <c r="J594" i="1"/>
  <c r="I594" i="1"/>
  <c r="J592" i="1"/>
  <c r="I468" i="1" l="1"/>
  <c r="H468" i="1"/>
  <c r="H155" i="1"/>
  <c r="H159" i="1"/>
  <c r="H154" i="1"/>
  <c r="I543" i="1"/>
  <c r="I542" i="1"/>
  <c r="I541" i="1"/>
  <c r="H543" i="1"/>
  <c r="H542" i="1"/>
  <c r="H541" i="1"/>
  <c r="G543" i="1" l="1"/>
  <c r="G542" i="1"/>
  <c r="G541" i="1"/>
  <c r="F543" i="1"/>
  <c r="F542" i="1"/>
  <c r="F541" i="1"/>
  <c r="I320" i="1" l="1"/>
  <c r="K320" i="1"/>
  <c r="H320" i="1"/>
  <c r="G320" i="1"/>
  <c r="F320" i="1"/>
  <c r="H314" i="1"/>
  <c r="I301" i="1"/>
  <c r="I298" i="1"/>
  <c r="I317" i="1"/>
  <c r="I315" i="1"/>
  <c r="J315" i="1"/>
  <c r="G315" i="1"/>
  <c r="F315" i="1"/>
  <c r="J324" i="1"/>
  <c r="J320" i="1"/>
  <c r="H319" i="1"/>
  <c r="K317" i="1"/>
  <c r="J317" i="1"/>
  <c r="H317" i="1"/>
  <c r="I314" i="1"/>
  <c r="F314" i="1"/>
  <c r="K301" i="1"/>
  <c r="H301" i="1"/>
  <c r="G301" i="1"/>
  <c r="F301" i="1"/>
  <c r="H276" i="1"/>
  <c r="H295" i="1"/>
  <c r="I295" i="1"/>
  <c r="I296" i="1"/>
  <c r="J296" i="1"/>
  <c r="H302" i="1"/>
  <c r="H300" i="1"/>
  <c r="H298" i="1"/>
  <c r="F295" i="1"/>
  <c r="K282" i="1"/>
  <c r="G282" i="1"/>
  <c r="F282" i="1"/>
  <c r="K333" i="1"/>
  <c r="J333" i="1"/>
  <c r="I333" i="1"/>
  <c r="H333" i="1"/>
  <c r="G333" i="1"/>
  <c r="F333" i="1"/>
  <c r="H277" i="1"/>
  <c r="J277" i="1"/>
  <c r="I277" i="1"/>
  <c r="J282" i="1"/>
  <c r="H281" i="1"/>
  <c r="J276" i="1"/>
  <c r="J360" i="1" l="1"/>
  <c r="I360" i="1"/>
  <c r="H360" i="1"/>
  <c r="J359" i="1"/>
  <c r="I359" i="1"/>
  <c r="H359" i="1"/>
  <c r="J358" i="1"/>
  <c r="I358" i="1"/>
  <c r="H358" i="1"/>
  <c r="G158" i="1" l="1"/>
  <c r="G97" i="1"/>
  <c r="K243" i="1" l="1"/>
  <c r="J243" i="1"/>
  <c r="I243" i="1"/>
  <c r="H243" i="1"/>
  <c r="G243" i="1"/>
  <c r="F243" i="1"/>
  <c r="G241" i="1"/>
  <c r="F241" i="1"/>
  <c r="K240" i="1"/>
  <c r="I240" i="1"/>
  <c r="H240" i="1"/>
  <c r="G240" i="1"/>
  <c r="F240" i="1"/>
  <c r="K241" i="1"/>
  <c r="J240" i="1"/>
  <c r="J239" i="1"/>
  <c r="I239" i="1"/>
  <c r="H239" i="1"/>
  <c r="G239" i="1"/>
  <c r="F239" i="1"/>
  <c r="I238" i="1"/>
  <c r="H238" i="1"/>
  <c r="G238" i="1"/>
  <c r="F238" i="1"/>
  <c r="F236" i="1"/>
  <c r="G236" i="1"/>
  <c r="I236" i="1"/>
  <c r="K234" i="1"/>
  <c r="J234" i="1"/>
  <c r="I234" i="1"/>
  <c r="H234" i="1"/>
  <c r="G234" i="1"/>
  <c r="F234" i="1"/>
  <c r="I233" i="1"/>
  <c r="H233" i="1"/>
  <c r="G233" i="1"/>
  <c r="K225" i="1"/>
  <c r="J225" i="1"/>
  <c r="I225" i="1"/>
  <c r="H225" i="1"/>
  <c r="G225" i="1"/>
  <c r="F225" i="1"/>
  <c r="J222" i="1"/>
  <c r="I222" i="1"/>
  <c r="H222" i="1"/>
  <c r="G222" i="1"/>
  <c r="F222" i="1"/>
  <c r="K222" i="1"/>
  <c r="J221" i="1"/>
  <c r="I221" i="1"/>
  <c r="H221" i="1"/>
  <c r="G221" i="1"/>
  <c r="F221" i="1"/>
  <c r="I220" i="1"/>
  <c r="H220" i="1"/>
  <c r="G220" i="1"/>
  <c r="F220" i="1"/>
  <c r="I218" i="1"/>
  <c r="G218" i="1"/>
  <c r="F218" i="1"/>
  <c r="K216" i="1"/>
  <c r="J216" i="1"/>
  <c r="I216" i="1"/>
  <c r="H216" i="1"/>
  <c r="G216" i="1"/>
  <c r="H215" i="1"/>
  <c r="G215" i="1"/>
  <c r="K207" i="1"/>
  <c r="J207" i="1"/>
  <c r="I207" i="1"/>
  <c r="H207" i="1"/>
  <c r="G207" i="1"/>
  <c r="F207" i="1"/>
  <c r="K204" i="1"/>
  <c r="I204" i="1"/>
  <c r="H204" i="1"/>
  <c r="G204" i="1"/>
  <c r="F204" i="1"/>
  <c r="J204" i="1"/>
  <c r="I202" i="1"/>
  <c r="H202" i="1"/>
  <c r="G202" i="1"/>
  <c r="F202" i="1"/>
  <c r="I200" i="1"/>
  <c r="F200" i="1"/>
  <c r="G200" i="1"/>
  <c r="K198" i="1"/>
  <c r="J198" i="1"/>
  <c r="I198" i="1"/>
  <c r="H198" i="1"/>
  <c r="G198" i="1"/>
  <c r="F198" i="1"/>
  <c r="K238" i="1" l="1"/>
  <c r="K236" i="1"/>
  <c r="K233" i="1"/>
  <c r="K223" i="1"/>
  <c r="K218" i="1"/>
  <c r="K215" i="1"/>
  <c r="K197" i="1"/>
  <c r="J202" i="1"/>
  <c r="J197" i="1"/>
  <c r="J218" i="1"/>
  <c r="J215" i="1"/>
  <c r="J241" i="1"/>
  <c r="J238" i="1"/>
  <c r="J236" i="1"/>
  <c r="J233" i="1"/>
  <c r="I241" i="1"/>
  <c r="H241" i="1"/>
  <c r="H236" i="1"/>
  <c r="H235" i="1"/>
  <c r="H218" i="1"/>
  <c r="G217" i="1" l="1"/>
  <c r="F63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H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C13" i="10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B37" i="12" s="1"/>
  <c r="B40" i="12" s="1"/>
  <c r="C36" i="12"/>
  <c r="C37" i="12" s="1"/>
  <c r="C40" i="12" s="1"/>
  <c r="B27" i="12"/>
  <c r="C27" i="12"/>
  <c r="B31" i="12"/>
  <c r="C31" i="12"/>
  <c r="B9" i="12"/>
  <c r="B12" i="12" s="1"/>
  <c r="B13" i="12" s="1"/>
  <c r="C9" i="12"/>
  <c r="C13" i="12" s="1"/>
  <c r="B18" i="12"/>
  <c r="B21" i="12" s="1"/>
  <c r="B22" i="12" s="1"/>
  <c r="C18" i="12"/>
  <c r="C19" i="12" s="1"/>
  <c r="C22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L250" i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E114" i="2"/>
  <c r="D115" i="2"/>
  <c r="F115" i="2"/>
  <c r="G115" i="2"/>
  <c r="E118" i="2"/>
  <c r="C119" i="2"/>
  <c r="E120" i="2"/>
  <c r="E121" i="2"/>
  <c r="E122" i="2"/>
  <c r="E123" i="2"/>
  <c r="E124" i="2"/>
  <c r="C125" i="2"/>
  <c r="E125" i="2"/>
  <c r="D127" i="2"/>
  <c r="D128" i="2" s="1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I408" i="1" s="1"/>
  <c r="F401" i="1"/>
  <c r="G401" i="1"/>
  <c r="H401" i="1"/>
  <c r="I401" i="1"/>
  <c r="F407" i="1"/>
  <c r="G407" i="1"/>
  <c r="H407" i="1"/>
  <c r="I407" i="1"/>
  <c r="F408" i="1"/>
  <c r="H643" i="1" s="1"/>
  <c r="J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H470" i="1"/>
  <c r="I470" i="1"/>
  <c r="G474" i="1"/>
  <c r="I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I545" i="1" s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H629" i="1"/>
  <c r="H630" i="1"/>
  <c r="G634" i="1"/>
  <c r="H635" i="1"/>
  <c r="H636" i="1"/>
  <c r="J636" i="1" s="1"/>
  <c r="G639" i="1"/>
  <c r="G640" i="1"/>
  <c r="H640" i="1"/>
  <c r="G641" i="1"/>
  <c r="H641" i="1"/>
  <c r="G643" i="1"/>
  <c r="G644" i="1"/>
  <c r="G645" i="1"/>
  <c r="G652" i="1"/>
  <c r="H652" i="1"/>
  <c r="G653" i="1"/>
  <c r="H653" i="1"/>
  <c r="G654" i="1"/>
  <c r="H654" i="1"/>
  <c r="H655" i="1"/>
  <c r="J655" i="1" s="1"/>
  <c r="G164" i="2"/>
  <c r="C26" i="10"/>
  <c r="L351" i="1"/>
  <c r="D62" i="2"/>
  <c r="D63" i="2" s="1"/>
  <c r="D18" i="13"/>
  <c r="C18" i="13" s="1"/>
  <c r="D18" i="2"/>
  <c r="D17" i="13"/>
  <c r="C17" i="13" s="1"/>
  <c r="C91" i="2"/>
  <c r="F78" i="2"/>
  <c r="F81" i="2" s="1"/>
  <c r="D31" i="2"/>
  <c r="G157" i="2"/>
  <c r="F18" i="2"/>
  <c r="G156" i="2"/>
  <c r="E103" i="2"/>
  <c r="D91" i="2"/>
  <c r="E62" i="2"/>
  <c r="E63" i="2" s="1"/>
  <c r="E31" i="2"/>
  <c r="G62" i="2"/>
  <c r="D29" i="13"/>
  <c r="C29" i="13" s="1"/>
  <c r="D19" i="13"/>
  <c r="C19" i="13" s="1"/>
  <c r="E78" i="2"/>
  <c r="E81" i="2" s="1"/>
  <c r="L427" i="1"/>
  <c r="H112" i="1"/>
  <c r="J641" i="1"/>
  <c r="J571" i="1"/>
  <c r="K571" i="1"/>
  <c r="L433" i="1"/>
  <c r="D81" i="2"/>
  <c r="I169" i="1"/>
  <c r="G552" i="1"/>
  <c r="I476" i="1"/>
  <c r="H625" i="1" s="1"/>
  <c r="J140" i="1"/>
  <c r="F571" i="1"/>
  <c r="I552" i="1"/>
  <c r="K549" i="1"/>
  <c r="K550" i="1"/>
  <c r="G22" i="2"/>
  <c r="K545" i="1"/>
  <c r="H552" i="1"/>
  <c r="C29" i="10"/>
  <c r="H140" i="1"/>
  <c r="L401" i="1"/>
  <c r="C139" i="2" s="1"/>
  <c r="L393" i="1"/>
  <c r="C138" i="2" s="1"/>
  <c r="F22" i="13"/>
  <c r="C22" i="13" s="1"/>
  <c r="H25" i="13"/>
  <c r="C25" i="13" s="1"/>
  <c r="J640" i="1"/>
  <c r="H571" i="1"/>
  <c r="L560" i="1"/>
  <c r="J545" i="1"/>
  <c r="H192" i="1"/>
  <c r="F552" i="1"/>
  <c r="C35" i="10"/>
  <c r="L309" i="1"/>
  <c r="E16" i="13"/>
  <c r="C16" i="13" s="1"/>
  <c r="L570" i="1"/>
  <c r="I571" i="1"/>
  <c r="G36" i="2"/>
  <c r="L565" i="1"/>
  <c r="G545" i="1"/>
  <c r="H545" i="1"/>
  <c r="K551" i="1"/>
  <c r="C70" i="2" l="1"/>
  <c r="C81" i="2" s="1"/>
  <c r="L419" i="1"/>
  <c r="L434" i="1" s="1"/>
  <c r="G408" i="1"/>
  <c r="H645" i="1" s="1"/>
  <c r="J645" i="1" s="1"/>
  <c r="K352" i="1"/>
  <c r="H338" i="1"/>
  <c r="H352" i="1" s="1"/>
  <c r="E110" i="2"/>
  <c r="E128" i="2"/>
  <c r="L290" i="1"/>
  <c r="C10" i="10"/>
  <c r="A13" i="12"/>
  <c r="A40" i="12"/>
  <c r="J644" i="1"/>
  <c r="K605" i="1"/>
  <c r="G648" i="1" s="1"/>
  <c r="K598" i="1"/>
  <c r="G647" i="1" s="1"/>
  <c r="J649" i="1"/>
  <c r="H33" i="13"/>
  <c r="J639" i="1"/>
  <c r="L544" i="1"/>
  <c r="L545" i="1" s="1"/>
  <c r="J552" i="1"/>
  <c r="K552" i="1"/>
  <c r="E109" i="2"/>
  <c r="E115" i="2" s="1"/>
  <c r="L328" i="1"/>
  <c r="G338" i="1"/>
  <c r="G352" i="1" s="1"/>
  <c r="F338" i="1"/>
  <c r="F352" i="1" s="1"/>
  <c r="E13" i="13"/>
  <c r="C13" i="13" s="1"/>
  <c r="A31" i="12"/>
  <c r="H52" i="1"/>
  <c r="H619" i="1" s="1"/>
  <c r="J619" i="1" s="1"/>
  <c r="J634" i="1"/>
  <c r="F661" i="1"/>
  <c r="D145" i="2"/>
  <c r="G661" i="1"/>
  <c r="I661" i="1" s="1"/>
  <c r="L362" i="1"/>
  <c r="D50" i="2"/>
  <c r="D51" i="2" s="1"/>
  <c r="C120" i="2"/>
  <c r="E8" i="13"/>
  <c r="C8" i="13" s="1"/>
  <c r="C17" i="10"/>
  <c r="K257" i="1"/>
  <c r="K271" i="1" s="1"/>
  <c r="J257" i="1"/>
  <c r="J271" i="1" s="1"/>
  <c r="D7" i="13"/>
  <c r="C7" i="13" s="1"/>
  <c r="I257" i="1"/>
  <c r="I271" i="1" s="1"/>
  <c r="C122" i="2"/>
  <c r="C19" i="10"/>
  <c r="H257" i="1"/>
  <c r="H271" i="1" s="1"/>
  <c r="G651" i="1"/>
  <c r="J651" i="1" s="1"/>
  <c r="C111" i="2"/>
  <c r="C15" i="10"/>
  <c r="C123" i="2"/>
  <c r="C18" i="10"/>
  <c r="L247" i="1"/>
  <c r="G257" i="1"/>
  <c r="G271" i="1" s="1"/>
  <c r="C21" i="10"/>
  <c r="G662" i="1"/>
  <c r="L229" i="1"/>
  <c r="G660" i="1" s="1"/>
  <c r="C20" i="10"/>
  <c r="D14" i="13"/>
  <c r="C14" i="13" s="1"/>
  <c r="D12" i="13"/>
  <c r="C12" i="13" s="1"/>
  <c r="C16" i="10"/>
  <c r="C110" i="2"/>
  <c r="C109" i="2"/>
  <c r="F257" i="1"/>
  <c r="F271" i="1" s="1"/>
  <c r="C124" i="2"/>
  <c r="C118" i="2"/>
  <c r="H647" i="1"/>
  <c r="D15" i="13"/>
  <c r="C15" i="13" s="1"/>
  <c r="F662" i="1"/>
  <c r="C121" i="2"/>
  <c r="D6" i="13"/>
  <c r="C6" i="13" s="1"/>
  <c r="C11" i="10"/>
  <c r="G625" i="1"/>
  <c r="J625" i="1" s="1"/>
  <c r="D5" i="13"/>
  <c r="C5" i="13" s="1"/>
  <c r="L211" i="1"/>
  <c r="C62" i="2"/>
  <c r="C63" i="2" s="1"/>
  <c r="F11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G638" i="1" l="1"/>
  <c r="J472" i="1"/>
  <c r="G637" i="1"/>
  <c r="J468" i="1"/>
  <c r="G104" i="2"/>
  <c r="J647" i="1"/>
  <c r="H646" i="1"/>
  <c r="J646" i="1" s="1"/>
  <c r="H660" i="1"/>
  <c r="H664" i="1" s="1"/>
  <c r="H667" i="1" s="1"/>
  <c r="L338" i="1"/>
  <c r="L352" i="1" s="1"/>
  <c r="E145" i="2"/>
  <c r="D31" i="13"/>
  <c r="C31" i="13" s="1"/>
  <c r="I662" i="1"/>
  <c r="G664" i="1"/>
  <c r="G672" i="1" s="1"/>
  <c r="C5" i="10" s="1"/>
  <c r="E33" i="13"/>
  <c r="D35" i="13" s="1"/>
  <c r="H648" i="1"/>
  <c r="J648" i="1" s="1"/>
  <c r="L257" i="1"/>
  <c r="L271" i="1" s="1"/>
  <c r="C115" i="2"/>
  <c r="C128" i="2"/>
  <c r="C28" i="10"/>
  <c r="D24" i="10" s="1"/>
  <c r="F660" i="1"/>
  <c r="C104" i="2"/>
  <c r="F193" i="1"/>
  <c r="C51" i="2"/>
  <c r="G631" i="1"/>
  <c r="G193" i="1"/>
  <c r="G626" i="1"/>
  <c r="J52" i="1"/>
  <c r="H621" i="1" s="1"/>
  <c r="J621" i="1" s="1"/>
  <c r="C38" i="10"/>
  <c r="H638" i="1" l="1"/>
  <c r="J474" i="1"/>
  <c r="J638" i="1"/>
  <c r="H631" i="1"/>
  <c r="J631" i="1" s="1"/>
  <c r="J470" i="1"/>
  <c r="H637" i="1"/>
  <c r="J637" i="1" s="1"/>
  <c r="G633" i="1"/>
  <c r="H472" i="1"/>
  <c r="G628" i="1"/>
  <c r="G468" i="1"/>
  <c r="G632" i="1"/>
  <c r="F472" i="1"/>
  <c r="G627" i="1"/>
  <c r="F468" i="1"/>
  <c r="H672" i="1"/>
  <c r="C6" i="10" s="1"/>
  <c r="D33" i="13"/>
  <c r="D36" i="13" s="1"/>
  <c r="G667" i="1"/>
  <c r="C30" i="10"/>
  <c r="C145" i="2"/>
  <c r="D26" i="10"/>
  <c r="D10" i="10"/>
  <c r="D16" i="10"/>
  <c r="D23" i="10"/>
  <c r="D20" i="10"/>
  <c r="D15" i="10"/>
  <c r="D25" i="10"/>
  <c r="D19" i="10"/>
  <c r="D13" i="10"/>
  <c r="D11" i="10"/>
  <c r="D21" i="10"/>
  <c r="D22" i="10"/>
  <c r="D27" i="10"/>
  <c r="D18" i="10"/>
  <c r="D17" i="10"/>
  <c r="D12" i="10"/>
  <c r="F664" i="1"/>
  <c r="I660" i="1"/>
  <c r="I664" i="1" s="1"/>
  <c r="I672" i="1" s="1"/>
  <c r="C7" i="10" s="1"/>
  <c r="C41" i="10"/>
  <c r="D38" i="10" s="1"/>
  <c r="J476" i="1" l="1"/>
  <c r="H626" i="1" s="1"/>
  <c r="J626" i="1" s="1"/>
  <c r="H633" i="1"/>
  <c r="H474" i="1"/>
  <c r="H476" i="1" s="1"/>
  <c r="H624" i="1" s="1"/>
  <c r="J624" i="1" s="1"/>
  <c r="J633" i="1"/>
  <c r="G470" i="1"/>
  <c r="G476" i="1" s="1"/>
  <c r="H623" i="1" s="1"/>
  <c r="J623" i="1" s="1"/>
  <c r="H628" i="1"/>
  <c r="J628" i="1"/>
  <c r="H632" i="1"/>
  <c r="J632" i="1" s="1"/>
  <c r="F474" i="1"/>
  <c r="H627" i="1"/>
  <c r="J627" i="1" s="1"/>
  <c r="F470" i="1"/>
  <c r="D28" i="10"/>
  <c r="I667" i="1"/>
  <c r="F672" i="1"/>
  <c r="C4" i="10" s="1"/>
  <c r="F667" i="1"/>
  <c r="D37" i="10"/>
  <c r="D36" i="10"/>
  <c r="D35" i="10"/>
  <c r="D40" i="10"/>
  <c r="D39" i="10"/>
  <c r="F476" i="1" l="1"/>
  <c r="H622" i="1" s="1"/>
  <c r="H656" i="1" s="1"/>
  <c r="D41" i="10"/>
  <c r="J622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<sst xmlns="http://schemas.openxmlformats.org/spreadsheetml/2006/main" count="3957" uniqueCount="915">
  <si>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</si>
  <si>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</si>
  <si>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</si>
  <si>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</si>
  <si>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</si>
  <si>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</si>
  <si>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</si>
  <si>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</si>
  <si>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</si>
  <si>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</si>
  <si>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</si>
  <si>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</si>
  <si>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</si>
  <si>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</si>
  <si>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</si>
  <si>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</si>
  <si>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</si>
  <si>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</si>
  <si>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</si>
  <si>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</si>
  <si>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</si>
  <si>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</si>
  <si>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</si>
  <si>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</si>
  <si>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</si>
  <si>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</si>
  <si>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</si>
  <si>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</si>
  <si>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</si>
  <si>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</si>
  <si>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</si>
  <si>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</si>
  <si>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</si>
  <si>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</si>
  <si>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</si>
  <si>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</si>
  <si>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</si>
  <si>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</si>
  <si>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</si>
  <si>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</si>
  <si>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</si>
  <si>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</si>
  <si>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</si>
  <si>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</si>
  <si>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</si>
  <si>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</si>
  <si>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</si>
  <si>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</si>
  <si>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</si>
  <si>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</si>
  <si>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</si>
  <si>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</si>
  <si>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</si>
  <si>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</si>
  <si>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</si>
  <si>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</si>
  <si>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</si>
  <si>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</si>
  <si>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</si>
  <si>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</si>
  <si>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</si>
  <si>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</si>
  <si>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</si>
  <si>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</si>
  <si>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</si>
  <si>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</si>
  <si>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</si>
  <si>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</si>
  <si>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</si>
  <si>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</si>
  <si>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</si>
  <si>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</si>
  <si>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</si>
  <si>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</si>
  <si>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</si>
  <si>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</si>
  <si>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</si>
  <si>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</si>
  <si>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</si>
  <si>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</si>
  <si>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</si>
  <si>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</si>
  <si>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</si>
  <si>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</si>
  <si>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</si>
  <si>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</si>
  <si>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</si>
  <si>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</si>
  <si>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</si>
  <si>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</si>
  <si>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</si>
  <si>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</si>
  <si>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</si>
  <si>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</si>
  <si>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</si>
  <si>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</si>
  <si>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</si>
  <si>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</si>
  <si>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</si>
  <si>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</si>
  <si>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</si>
  <si>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</si>
  <si>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</si>
  <si>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</si>
  <si>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</si>
  <si>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</si>
  <si>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</si>
  <si>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</si>
  <si>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</si>
  <si>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</si>
  <si>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</si>
  <si>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</si>
  <si>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</si>
  <si>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</si>
  <si>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</si>
  <si>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</si>
  <si>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</si>
  <si>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</si>
  <si>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</si>
  <si>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</si>
  <si>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</si>
  <si>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</si>
  <si>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</si>
  <si>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</si>
  <si>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</si>
  <si>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</si>
  <si>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</si>
  <si>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</si>
  <si>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</si>
  <si>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</si>
  <si>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</si>
  <si>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</si>
  <si>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</si>
  <si>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</si>
  <si>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</si>
  <si>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</si>
  <si>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</si>
  <si>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</si>
  <si>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</si>
  <si>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</si>
  <si>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</si>
  <si>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</si>
  <si>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</si>
  <si>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</si>
  <si>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</si>
  <si>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</si>
  <si>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</si>
  <si>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</si>
  <si>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</si>
  <si>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</si>
  <si>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</si>
  <si>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</si>
  <si>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</si>
  <si>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</si>
  <si>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</si>
  <si>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</si>
  <si>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</si>
  <si>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</si>
  <si>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</si>
  <si>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</si>
  <si>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</si>
  <si>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</si>
  <si>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</si>
  <si>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</si>
  <si>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</si>
  <si>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</si>
  <si>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</si>
  <si>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</si>
  <si>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</si>
  <si>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</si>
  <si>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</si>
  <si>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</si>
  <si>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</si>
  <si>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</si>
  <si>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</si>
  <si>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</si>
  <si>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</si>
  <si>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</si>
  <si>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</si>
  <si>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</si>
  <si>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</si>
  <si>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</si>
  <si>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</si>
  <si>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</si>
  <si>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</si>
  <si>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</si>
  <si>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</si>
  <si>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</si>
  <si>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</si>
  <si>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</si>
  <si>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</si>
  <si>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</si>
  <si>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</si>
  <si>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</si>
  <si>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</si>
  <si>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</si>
  <si>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</si>
  <si>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</si>
  <si>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</si>
  <si>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</si>
  <si>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</si>
  <si>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</si>
  <si>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</si>
  <si>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</si>
  <si>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</si>
  <si>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</si>
  <si>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</si>
  <si>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</si>
  <si>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</si>
  <si>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</si>
  <si>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</si>
  <si>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</si>
  <si>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</si>
  <si>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</si>
  <si>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</si>
  <si>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</si>
  <si>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</si>
  <si>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</si>
  <si>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</si>
  <si>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</si>
  <si>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</si>
  <si>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</si>
  <si>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</si>
  <si>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</si>
  <si>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</si>
  <si>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</si>
  <si>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</si>
  <si>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</si>
  <si>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</si>
  <si>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</si>
  <si>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</si>
  <si>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</si>
  <si>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</si>
  <si>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</si>
  <si>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</si>
  <si>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</si>
  <si>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</si>
  <si>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</si>
  <si>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</si>
  <si>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</si>
  <si>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</si>
  <si>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</si>
  <si>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</si>
  <si>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</si>
  <si>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</si>
  <si>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</si>
  <si>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</si>
  <si>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</si>
  <si>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</si>
  <si>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</si>
  <si>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</si>
  <si>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</si>
  <si>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</si>
  <si>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</si>
  <si>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</si>
  <si>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</si>
  <si>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</si>
  <si>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</si>
  <si>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</si>
  <si>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</si>
  <si>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</si>
  <si>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</si>
  <si>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</si>
  <si>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</si>
  <si>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</si>
  <si>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</si>
  <si>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</si>
  <si>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</si>
  <si>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</si>
  <si>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</si>
  <si>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</si>
  <si>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</si>
  <si>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</si>
  <si>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</si>
  <si>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</si>
  <si>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</si>
  <si>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</si>
  <si>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</si>
  <si>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</si>
  <si>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</si>
  <si>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</si>
  <si>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</si>
  <si>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</si>
  <si>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</si>
  <si>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</si>
  <si>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</si>
  <si>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</si>
  <si>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</si>
  <si>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</si>
  <si>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</si>
  <si>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</si>
  <si>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</si>
  <si>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</si>
  <si>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</si>
  <si>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</si>
  <si>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</si>
  <si>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</si>
  <si>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</si>
  <si>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</si>
  <si>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</si>
  <si>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</si>
  <si>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</si>
  <si>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</si>
  <si>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</si>
  <si>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</si>
  <si>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</si>
  <si>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</si>
  <si>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</si>
  <si>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</si>
  <si>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</si>
  <si>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</si>
  <si>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</si>
  <si>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</si>
  <si>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</si>
  <si>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</si>
  <si>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</si>
  <si>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</si>
  <si>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</si>
  <si>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</si>
  <si>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</si>
  <si>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</si>
  <si>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</si>
  <si>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</si>
  <si>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</si>
  <si>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</si>
  <si>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</si>
  <si>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</si>
  <si>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</si>
  <si>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</si>
  <si>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</si>
  <si>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</si>
  <si>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</si>
  <si>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</si>
  <si>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</si>
  <si>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</si>
  <si>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</si>
  <si>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</si>
  <si>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</si>
  <si>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</si>
  <si>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</si>
  <si>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</si>
  <si>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</si>
  <si>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</si>
  <si>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</si>
  <si>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</si>
  <si>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</si>
  <si>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</si>
  <si>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</si>
  <si>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</si>
  <si>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</si>
  <si>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</si>
  <si>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</si>
  <si>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</si>
  <si>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</si>
  <si>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</si>
  <si>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</si>
  <si>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</si>
  <si>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</si>
  <si>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</si>
  <si>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</si>
  <si>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</si>
  <si>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</si>
  <si>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</si>
  <si>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</si>
  <si>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</si>
  <si>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</si>
  <si>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</si>
  <si>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</si>
  <si>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</si>
  <si>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</si>
  <si>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</si>
  <si>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</si>
  <si>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</si>
  <si>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</si>
  <si>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</si>
  <si>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</si>
  <si>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</si>
  <si>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</si>
  <si>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</si>
  <si>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</si>
  <si>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</si>
  <si>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</si>
  <si>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</si>
  <si>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</si>
  <si>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</si>
  <si>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</si>
  <si>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</si>
  <si>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</si>
  <si>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</si>
  <si>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</si>
  <si>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</si>
  <si>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</si>
  <si>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</si>
  <si>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</si>
  <si>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</si>
  <si>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</si>
  <si>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</si>
  <si>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</si>
  <si>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</si>
  <si>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</si>
  <si>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</si>
  <si>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</si>
  <si>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</si>
  <si>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</si>
  <si>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</si>
  <si>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</si>
  <si>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</si>
  <si>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</si>
  <si>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</si>
  <si>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</si>
  <si>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</si>
  <si>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</si>
  <si>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</si>
  <si>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</si>
  <si>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</si>
  <si>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</si>
  <si>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</si>
  <si>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</si>
  <si>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</si>
  <si>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</si>
  <si>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</si>
  <si>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</si>
  <si>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</si>
  <si>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</si>
  <si>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</si>
  <si>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</si>
  <si>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</si>
  <si>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</si>
  <si>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</si>
  <si>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</si>
  <si>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</si>
  <si>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</si>
  <si>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</si>
  <si>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</si>
  <si>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</si>
  <si>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</si>
  <si>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</si>
  <si>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</si>
  <si>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</si>
  <si>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</si>
  <si>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</si>
  <si>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</si>
  <si>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</si>
  <si>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</si>
  <si>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</si>
  <si>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</si>
  <si>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</si>
  <si>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</si>
  <si>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</si>
  <si>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</si>
  <si>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</si>
  <si>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</si>
  <si>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</si>
  <si>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</si>
  <si>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</si>
  <si>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</si>
  <si>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</si>
  <si>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</si>
  <si>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</si>
  <si>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</si>
  <si>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</si>
  <si>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</si>
  <si>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</si>
  <si>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</si>
  <si>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</si>
  <si>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</si>
  <si>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</si>
  <si>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</si>
  <si>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</si>
  <si>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</si>
  <si>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</si>
  <si>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</si>
  <si>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</si>
  <si>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</si>
  <si>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</si>
  <si>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</si>
  <si>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</si>
  <si>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</si>
  <si>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</si>
  <si>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</si>
  <si>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</si>
  <si>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</si>
  <si>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</si>
  <si>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</si>
  <si>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</si>
  <si>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</si>
  <si>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</si>
  <si>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</si>
  <si>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</si>
  <si>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</si>
  <si>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</si>
  <si>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</si>
  <si>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</si>
  <si>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</si>
  <si>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</si>
  <si>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</si>
  <si>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</si>
  <si>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</si>
  <si>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</si>
  <si>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</si>
  <si>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</si>
  <si>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</si>
  <si>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</si>
  <si>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</si>
  <si>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</si>
  <si>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</si>
  <si>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</si>
  <si>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</si>
  <si>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</si>
  <si>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</si>
  <si>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</si>
  <si>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</si>
  <si>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</si>
  <si>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</si>
  <si>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</si>
  <si>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</si>
  <si>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</si>
  <si>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</si>
  <si>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</si>
  <si>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</si>
  <si>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</si>
  <si>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</si>
  <si>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</si>
  <si>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</si>
  <si>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</si>
  <si>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</si>
  <si>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</si>
  <si>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</si>
  <si>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</si>
  <si>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</si>
  <si>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</si>
  <si>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</si>
  <si>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</si>
  <si>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</si>
  <si>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</si>
  <si>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</si>
  <si>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</si>
  <si>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</si>
  <si>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</si>
  <si>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</si>
  <si>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</si>
  <si>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</si>
  <si>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</si>
  <si>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</si>
  <si>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</si>
  <si>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</si>
  <si>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</si>
  <si>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</si>
  <si>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</si>
  <si>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</si>
  <si>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</si>
  <si>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</si>
  <si>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</si>
  <si>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</si>
  <si>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</si>
  <si>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</si>
  <si>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</si>
  <si>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</si>
  <si>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</si>
  <si>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</si>
  <si>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</si>
  <si>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</si>
  <si>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</si>
  <si>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</si>
  <si>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</si>
  <si>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</si>
  <si>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</si>
  <si>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</si>
  <si>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</si>
  <si>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</si>
  <si>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</si>
  <si>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</si>
  <si>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</si>
  <si>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</si>
  <si>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</si>
  <si>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</si>
  <si>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</si>
  <si>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</si>
  <si>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</si>
  <si>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</si>
  <si>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</si>
  <si>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</si>
  <si>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</si>
  <si>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</si>
  <si>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</si>
  <si>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</si>
  <si>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</si>
  <si>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</si>
  <si>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</si>
  <si>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</si>
  <si>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</si>
  <si>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</si>
  <si>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</si>
  <si>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</si>
  <si>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</si>
  <si>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</si>
  <si>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</si>
  <si>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</si>
  <si>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</si>
  <si>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</si>
  <si>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</si>
  <si>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</si>
  <si>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</si>
  <si>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</si>
  <si>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</si>
  <si>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</si>
  <si>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</si>
  <si>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</si>
  <si>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</si>
  <si>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</si>
  <si>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</si>
  <si>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</si>
  <si>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</si>
  <si>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</si>
  <si>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</si>
  <si>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</si>
  <si>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</si>
  <si>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</si>
  <si>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</si>
  <si>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</si>
  <si>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</si>
  <si>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</si>
  <si>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</si>
  <si>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</si>
  <si>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</si>
  <si>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</si>
  <si>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</si>
  <si>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</si>
  <si>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</si>
  <si>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</si>
  <si>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</si>
  <si>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</si>
  <si>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</si>
  <si>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</si>
  <si>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</si>
  <si>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</si>
  <si>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</si>
  <si>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</si>
  <si>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</si>
  <si>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</si>
  <si>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</si>
  <si>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</si>
  <si>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</si>
  <si>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</si>
  <si>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</si>
  <si>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</si>
  <si>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</si>
  <si>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</si>
  <si>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</si>
  <si>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</si>
  <si>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</si>
  <si>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</si>
  <si>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</si>
  <si>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</si>
  <si>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</si>
  <si>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</si>
  <si>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</si>
  <si>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</si>
  <si>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</si>
  <si>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</si>
  <si>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</si>
  <si>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</si>
  <si>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</si>
  <si>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</si>
  <si>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</si>
  <si>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</si>
  <si>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</si>
  <si>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</si>
  <si>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</si>
  <si>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</si>
  <si>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</si>
  <si>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</si>
  <si>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</si>
  <si>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</si>
  <si>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</si>
  <si>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</si>
  <si>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</si>
  <si>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</si>
  <si>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</si>
  <si>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</si>
  <si>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</si>
  <si>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</si>
  <si>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</si>
  <si>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</si>
  <si>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</si>
  <si>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</si>
  <si>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</si>
  <si>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</si>
  <si>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</si>
  <si>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</si>
  <si>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</si>
  <si>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</si>
  <si>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</si>
  <si>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</si>
  <si>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</si>
  <si>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</si>
  <si>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</si>
  <si>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</si>
  <si>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</si>
  <si>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</si>
  <si>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</si>
  <si>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</si>
  <si>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</si>
  <si>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</si>
  <si>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</si>
  <si>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</si>
  <si>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</si>
  <si>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</si>
  <si>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</si>
  <si>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</si>
  <si>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</si>
  <si>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</si>
  <si>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</si>
  <si>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</si>
  <si>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</si>
  <si>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</si>
  <si>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</si>
  <si>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</si>
  <si>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</si>
  <si>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</si>
  <si>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</si>
  <si>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</si>
  <si>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</si>
  <si>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</si>
  <si>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</si>
  <si>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</si>
  <si>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</si>
  <si>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</si>
  <si>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</si>
  <si>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</si>
  <si>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</si>
  <si>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</si>
  <si>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</si>
  <si>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</si>
  <si>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</si>
  <si>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</si>
  <si>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</si>
  <si>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</si>
  <si>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</si>
  <si>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</si>
  <si>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</si>
  <si>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</si>
  <si>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</si>
  <si>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</si>
  <si>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</si>
  <si>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</si>
  <si>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</si>
  <si>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</si>
  <si>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</si>
  <si>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</si>
  <si>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</si>
  <si>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</si>
  <si>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</si>
  <si>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</si>
  <si>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</si>
  <si>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</si>
  <si>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</si>
  <si>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</si>
  <si>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</si>
  <si>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</si>
  <si>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</si>
  <si>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</si>
  <si>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</si>
  <si>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</si>
  <si>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</si>
  <si>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</si>
  <si>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</si>
  <si>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</si>
  <si>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</si>
  <si>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</si>
  <si>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</si>
  <si>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</si>
  <si>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</si>
  <si>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</si>
  <si>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</si>
  <si>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</si>
  <si>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</si>
  <si>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</si>
  <si>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</si>
  <si>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</si>
  <si>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</si>
  <si>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</si>
  <si>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</si>
  <si>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</si>
  <si>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</si>
  <si>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</si>
  <si>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</si>
  <si>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</si>
  <si>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</si>
  <si>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</si>
  <si>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</si>
  <si>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</si>
  <si>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</si>
  <si>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</si>
  <si>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</si>
  <si>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</si>
  <si>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</si>
  <si>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</si>
  <si>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</si>
  <si>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</si>
  <si>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</si>
  <si>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</si>
  <si>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</si>
  <si>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</si>
  <si>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</si>
  <si>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</si>
  <si>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</si>
  <si>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</si>
  <si>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</si>
  <si>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</si>
  <si>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</si>
  <si>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</si>
  <si>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</si>
  <si>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</si>
  <si>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</si>
  <si>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</si>
  <si>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</si>
  <si>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</si>
  <si>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</si>
  <si>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</si>
  <si>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</si>
  <si>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</si>
  <si>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</si>
  <si>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</si>
  <si>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</si>
  <si>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</si>
  <si>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</si>
  <si>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</si>
  <si>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</si>
  <si>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</si>
  <si>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</si>
  <si>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</si>
  <si>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</si>
  <si>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</si>
  <si>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</si>
  <si>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</si>
  <si>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</si>
  <si>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</si>
  <si>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</si>
  <si>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</si>
  <si>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</si>
  <si>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</si>
  <si>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</si>
  <si>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</si>
  <si>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</si>
  <si>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</si>
  <si>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</si>
  <si>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</si>
  <si>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</si>
  <si>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</si>
  <si>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</si>
  <si>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</si>
  <si>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</si>
  <si>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</si>
  <si>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</si>
  <si>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</si>
  <si>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</si>
  <si>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</si>
  <si>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</si>
  <si>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</si>
  <si>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</si>
  <si>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</si>
  <si>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</si>
  <si>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</si>
  <si>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</si>
  <si>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</si>
  <si>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</si>
  <si>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</si>
  <si>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</si>
  <si>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</si>
  <si>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</si>
  <si>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</si>
  <si>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</si>
  <si>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</si>
  <si>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</si>
  <si>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</si>
  <si>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</si>
  <si>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</si>
  <si>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</si>
  <si>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</si>
  <si>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</si>
  <si>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</si>
  <si>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</si>
  <si>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</si>
  <si>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</si>
  <si>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</si>
  <si>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</si>
  <si>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</si>
  <si>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</si>
  <si>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</si>
  <si>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</si>
  <si>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</si>
  <si>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</si>
  <si>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</si>
  <si>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</si>
  <si>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</si>
  <si>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</si>
  <si>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</si>
  <si>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</si>
  <si>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</si>
  <si>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</si>
  <si>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</si>
  <si>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</si>
  <si>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</si>
  <si>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</si>
  <si>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</si>
  <si>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</si>
  <si>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</si>
  <si>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</si>
  <si>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</si>
  <si>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</si>
  <si>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</si>
  <si>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1/11</t>
  </si>
  <si>
    <t>1/32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</si>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</sst>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295</v>
      </c>
      <c r="C2" s="21">
        <v>295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651075.98+717079.79</f>
        <v>1368155.77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1390202.18</v>
      </c>
      <c r="G10" s="18"/>
      <c r="H10" s="18"/>
      <c r="I10" s="18"/>
      <c r="J10" s="67">
        <f>SUM(I440)</f>
        <v>2737986.85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181183</v>
      </c>
      <c r="G12" s="18">
        <v>7337.44</v>
      </c>
      <c r="H12" s="18">
        <v>104870.64</v>
      </c>
      <c r="I12" s="18">
        <v>85685.59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13144.92</v>
      </c>
      <c r="H13" s="18">
        <v>229197.49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16360.78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3788.21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14096.05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2953637</v>
      </c>
      <c r="G19" s="41">
        <f>SUM(G9:G18)</f>
        <v>40631.35</v>
      </c>
      <c r="H19" s="41">
        <f>SUM(H9:H18)</f>
        <v>334068.13</v>
      </c>
      <c r="I19" s="41">
        <f>SUM(I9:I18)</f>
        <v>85685.59</v>
      </c>
      <c r="J19" s="41">
        <f>SUM(J9:J18)</f>
        <v>2737986.85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-30871.09</v>
      </c>
      <c r="G22" s="18"/>
      <c r="H22" s="18">
        <v>229197.49</v>
      </c>
      <c r="I22" s="18">
        <v>562.23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4"/>
      <c r="I23" s="18"/>
      <c r="J23" s="67">
        <f>SUM(I449)</f>
        <v>181183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30609.38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15289.73</v>
      </c>
      <c r="H30" s="18">
        <v>1126.07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-261.70999999999913</v>
      </c>
      <c r="G32" s="41">
        <f>SUM(G22:G31)</f>
        <v>15289.73</v>
      </c>
      <c r="H32" s="41">
        <f>SUM(H22:H31)</f>
        <v>230323.56</v>
      </c>
      <c r="I32" s="41">
        <f>SUM(I22:I31)</f>
        <v>562.23</v>
      </c>
      <c r="J32" s="41">
        <f>SUM(J22:J31)</f>
        <v>181183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3788.21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14096.05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85123.36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737850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21553.41</v>
      </c>
      <c r="H48" s="18">
        <v>103744.57</v>
      </c>
      <c r="I48" s="18"/>
      <c r="J48" s="13">
        <f>SUM(I459)</f>
        <v>2556803.85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204300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1447652.66</f>
        <v>1447652.66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2953898.71</v>
      </c>
      <c r="G51" s="41">
        <f>SUM(G35:G50)</f>
        <v>25341.62</v>
      </c>
      <c r="H51" s="41">
        <f>SUM(H35:H50)</f>
        <v>103744.57</v>
      </c>
      <c r="I51" s="41">
        <f>SUM(I35:I50)</f>
        <v>85123.36</v>
      </c>
      <c r="J51" s="41">
        <f>SUM(J35:J50)</f>
        <v>2556803.85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2953637</v>
      </c>
      <c r="G52" s="41">
        <f>G51+G32</f>
        <v>40631.35</v>
      </c>
      <c r="H52" s="41">
        <f>H51+H32</f>
        <v>334068.13</v>
      </c>
      <c r="I52" s="41">
        <f>I51+I32</f>
        <v>85685.59</v>
      </c>
      <c r="J52" s="41">
        <f>J51+J32</f>
        <v>2737986.85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24970510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6583.5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24977093.5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20704</f>
        <v>20704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425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4241160.42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20034.72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19882.900000000001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4302207.04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12457.37</v>
      </c>
      <c r="G96" s="18"/>
      <c r="H96" s="18"/>
      <c r="I96" s="18"/>
      <c r="J96" s="18">
        <v>30937.9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108904+194119.84+15436+20596+10484+1995</f>
        <v>351534.83999999997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8077.9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14061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125019.7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193250.81+12804.29-720</f>
        <v>205335.1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239931.37</v>
      </c>
      <c r="G111" s="41">
        <f>SUM(G96:G110)</f>
        <v>351534.83999999997</v>
      </c>
      <c r="H111" s="41">
        <f>SUM(H96:H110)</f>
        <v>125019.7</v>
      </c>
      <c r="I111" s="41">
        <f>SUM(I96:I110)</f>
        <v>0</v>
      </c>
      <c r="J111" s="41">
        <f>SUM(J96:J110)</f>
        <v>30937.9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29519231.91</v>
      </c>
      <c r="G112" s="41">
        <f>G60+G111</f>
        <v>351534.83999999997</v>
      </c>
      <c r="H112" s="41">
        <f>H60+H79+H94+H111</f>
        <v>125019.7</v>
      </c>
      <c r="I112" s="41">
        <f>I60+I111</f>
        <v>0</v>
      </c>
      <c r="J112" s="41">
        <f>J60+J111</f>
        <v>30937.9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1902978.07-1693.77</f>
        <v>1901284.3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4543496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1693.77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6446474.0699999994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624308.43000000005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451016.64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172510.09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9199.76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7076.26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1257034.9200000002</v>
      </c>
      <c r="G136" s="41">
        <f>SUM(G123:G135)</f>
        <v>7076.26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7703508.9899999993</v>
      </c>
      <c r="G140" s="41">
        <f>G121+SUM(G136:G137)</f>
        <v>7076.26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4165+56961.56+261518.01</f>
        <v>322644.57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9588.26+438.15+3841.66+896.07+2146.81+24535.37+16236.83</f>
        <v>57683.15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76765.350000000006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33787.08+218381.86+12811.21</f>
        <v>264980.15000000002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336493.46+15129.15</f>
        <v>351622.61000000004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93425.45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34545.94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93425.45</v>
      </c>
      <c r="G162" s="41">
        <f>SUM(G150:G161)</f>
        <v>264980.15000000002</v>
      </c>
      <c r="H162" s="41">
        <f>SUM(H150:H161)</f>
        <v>843261.62000000011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3800.81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97226.26</v>
      </c>
      <c r="G169" s="41">
        <f>G147+G162+SUM(G163:G168)</f>
        <v>264980.15000000002</v>
      </c>
      <c r="H169" s="41">
        <f>H147+H162+SUM(H163:H168)</f>
        <v>843261.62000000011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3832.83</v>
      </c>
      <c r="H179" s="18"/>
      <c r="I179" s="18"/>
      <c r="J179" s="18">
        <v>200000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3832.83</v>
      </c>
      <c r="H183" s="41">
        <f>SUM(H179:H182)</f>
        <v>0</v>
      </c>
      <c r="I183" s="41">
        <f>SUM(I179:I182)</f>
        <v>0</v>
      </c>
      <c r="J183" s="41">
        <f>SUM(J179:J182)</f>
        <v>200000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764423.72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764423.72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764423.72</v>
      </c>
      <c r="G192" s="41">
        <f>G183+SUM(G188:G191)</f>
        <v>3832.83</v>
      </c>
      <c r="H192" s="41">
        <f>+H183+SUM(H188:H191)</f>
        <v>0</v>
      </c>
      <c r="I192" s="41">
        <f>I177+I183+SUM(I188:I191)</f>
        <v>0</v>
      </c>
      <c r="J192" s="41">
        <f>J183</f>
        <v>200000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38084390.879999995</v>
      </c>
      <c r="G193" s="47">
        <f>G112+G140+G169+G192</f>
        <v>627424.07999999996</v>
      </c>
      <c r="H193" s="47">
        <f>H112+H140+H169+H192</f>
        <v>968281.32000000007</v>
      </c>
      <c r="I193" s="47">
        <f>I112+I140+I169+I192</f>
        <v>0</v>
      </c>
      <c r="J193" s="47">
        <f>J112+J140+J192</f>
        <v>230937.9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3089853.22+659306.28+112676.51+12129.95</f>
        <v>3873965.96</v>
      </c>
      <c r="G197" s="18">
        <f>2221578.36+8703.61</f>
        <v>2230281.9699999997</v>
      </c>
      <c r="H197" s="18">
        <f>2524+2553+450+1454.95</f>
        <v>6981.95</v>
      </c>
      <c r="I197" s="18">
        <f>119362.13+983.9</f>
        <v>120346.03</v>
      </c>
      <c r="J197" s="18">
        <f>24320.39</f>
        <v>24320.39</v>
      </c>
      <c r="K197" s="18">
        <f>3377+8568.45</f>
        <v>11945.45</v>
      </c>
      <c r="L197" s="19">
        <f>SUM(F197:K197)</f>
        <v>6267841.75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608399.52+541482.62+267560.19</f>
        <v>1417442.33</v>
      </c>
      <c r="G198" s="18">
        <f>658340.06+103761.59</f>
        <v>762101.65</v>
      </c>
      <c r="H198" s="18">
        <f>81150.53+91136.75+20781.58</f>
        <v>193068.86</v>
      </c>
      <c r="I198" s="18">
        <f>6108.74+673.28</f>
        <v>6782.0199999999995</v>
      </c>
      <c r="J198" s="18">
        <f>3819.29+1666.73</f>
        <v>5486.02</v>
      </c>
      <c r="K198" s="18">
        <f>1181.03</f>
        <v>1181.03</v>
      </c>
      <c r="L198" s="19">
        <f>SUM(F198:K198)</f>
        <v>2386061.9099999997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25080.36+7289.79</f>
        <v>32370.15</v>
      </c>
      <c r="G200" s="18">
        <f>5146.98+312.57</f>
        <v>5459.5499999999993</v>
      </c>
      <c r="H200" s="18"/>
      <c r="I200" s="18">
        <f>709.94</f>
        <v>709.94</v>
      </c>
      <c r="J200" s="18"/>
      <c r="K200" s="18"/>
      <c r="L200" s="19">
        <f>SUM(F200:K200)</f>
        <v>38539.64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278800.34-25080.36+34583.1+8209.77</f>
        <v>296512.85000000003</v>
      </c>
      <c r="G202" s="18">
        <f>66306.33+82222.53+3916.37+4341.27</f>
        <v>156786.49999999997</v>
      </c>
      <c r="H202" s="18">
        <f>7210+892.42+421.5+279.44+6127.57+220.49</f>
        <v>15151.42</v>
      </c>
      <c r="I202" s="18">
        <f>1379.16+2222.22+1139.08</f>
        <v>4740.46</v>
      </c>
      <c r="J202" s="18">
        <f>179.99+3329.43</f>
        <v>3509.42</v>
      </c>
      <c r="K202" s="18"/>
      <c r="L202" s="19">
        <f t="shared" ref="L202:L208" si="0">SUM(F202:K202)</f>
        <v>476700.64999999997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206176.41+18157.3+8399.04+19467+446.96+83323.31</f>
        <v>335970.02</v>
      </c>
      <c r="G203" s="18">
        <f>119909.02+4211.57+1385.69+10699.856+20885.09</f>
        <v>157091.226</v>
      </c>
      <c r="H203" s="18">
        <f>5452.94+21908.27+25592+2843.84+115686.11</f>
        <v>171483.16</v>
      </c>
      <c r="I203" s="18">
        <f>32469.56</f>
        <v>32469.56</v>
      </c>
      <c r="J203" s="18">
        <f>10489.43</f>
        <v>10489.43</v>
      </c>
      <c r="K203" s="18"/>
      <c r="L203" s="19">
        <f t="shared" si="0"/>
        <v>707503.39600000018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4637+211843.35+16717.98</f>
        <v>233198.33000000002</v>
      </c>
      <c r="G204" s="18">
        <f>366.16+94721.84+11786.06</f>
        <v>106874.06</v>
      </c>
      <c r="H204" s="18">
        <f>60327.31+32138.62+5059.52</f>
        <v>97525.45</v>
      </c>
      <c r="I204" s="18">
        <f>2379.37+23380.7+415.48</f>
        <v>26175.55</v>
      </c>
      <c r="J204" s="18">
        <f>197.63</f>
        <v>197.63</v>
      </c>
      <c r="K204" s="18">
        <f>2224.25+19.64</f>
        <v>2243.89</v>
      </c>
      <c r="L204" s="19">
        <f t="shared" si="0"/>
        <v>466214.91000000003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458896+3301.73</f>
        <v>462197.73</v>
      </c>
      <c r="G205" s="18">
        <f>208672.19+252.61+16.943</f>
        <v>208941.74299999999</v>
      </c>
      <c r="H205" s="18">
        <f>58522.63</f>
        <v>58522.63</v>
      </c>
      <c r="I205" s="18">
        <f>2834</f>
        <v>2834</v>
      </c>
      <c r="J205" s="18">
        <f>1159.98</f>
        <v>1159.98</v>
      </c>
      <c r="K205" s="18">
        <f>2410</f>
        <v>2410</v>
      </c>
      <c r="L205" s="19">
        <f t="shared" si="0"/>
        <v>736066.08299999998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203558.68+146839.59</f>
        <v>350398.27</v>
      </c>
      <c r="G207" s="18">
        <f>136866.81+78325.48</f>
        <v>215192.28999999998</v>
      </c>
      <c r="H207" s="18">
        <f>6892.04+7047.43+2250.3+839.93+1324.4+447.15+805.2+75240.15+52478.84+21451.77+314455.51+54532.43</f>
        <v>537765.15</v>
      </c>
      <c r="I207" s="18">
        <f>147202.49+8685.84</f>
        <v>155888.32999999999</v>
      </c>
      <c r="J207" s="18">
        <f>5083.15+958.15</f>
        <v>6041.2999999999993</v>
      </c>
      <c r="K207" s="18">
        <f>160.84</f>
        <v>160.84</v>
      </c>
      <c r="L207" s="19">
        <f t="shared" si="0"/>
        <v>1265446.1800000002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22260.34+93373.97+28335.62+7178.49</f>
        <v>151148.41999999998</v>
      </c>
      <c r="G208" s="18">
        <f>19348.7+8591.74+4592.87+506.55</f>
        <v>33039.86</v>
      </c>
      <c r="H208" s="18">
        <f>20360.85+76295.1+30606.19+4537</f>
        <v>131799.14000000001</v>
      </c>
      <c r="I208" s="18">
        <f>369.68+17594.28+7319.06+411.09</f>
        <v>25694.11</v>
      </c>
      <c r="J208" s="18">
        <f>4891.65</f>
        <v>4891.6499999999996</v>
      </c>
      <c r="K208" s="18">
        <f>21</f>
        <v>21</v>
      </c>
      <c r="L208" s="19">
        <f t="shared" si="0"/>
        <v>346594.18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7153204.0600000005</v>
      </c>
      <c r="G211" s="41">
        <f t="shared" si="1"/>
        <v>3875768.848999999</v>
      </c>
      <c r="H211" s="41">
        <f t="shared" si="1"/>
        <v>1212297.7600000002</v>
      </c>
      <c r="I211" s="41">
        <f t="shared" si="1"/>
        <v>375640</v>
      </c>
      <c r="J211" s="41">
        <f t="shared" si="1"/>
        <v>56095.82</v>
      </c>
      <c r="K211" s="41">
        <f t="shared" si="1"/>
        <v>17962.210000000003</v>
      </c>
      <c r="L211" s="41">
        <f t="shared" si="1"/>
        <v>12690968.699000001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2585789.63+88979.18+9703.96</f>
        <v>2684472.77</v>
      </c>
      <c r="G215" s="18">
        <f>1452937.78+6873.13</f>
        <v>1459810.91</v>
      </c>
      <c r="H215" s="18">
        <f>5292.5+5052.88+1148.95</f>
        <v>11494.330000000002</v>
      </c>
      <c r="I215" s="18">
        <f>114826.13+776.97</f>
        <v>115603.1</v>
      </c>
      <c r="J215" s="18">
        <f>9116.68</f>
        <v>9116.68</v>
      </c>
      <c r="K215" s="18">
        <f>11320.04</f>
        <v>11320.04</v>
      </c>
      <c r="L215" s="19">
        <f>SUM(F215:K215)</f>
        <v>4291817.8299999991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421824.58+409765.93+211288.82</f>
        <v>1042879.3300000001</v>
      </c>
      <c r="G216" s="18">
        <f>569900.18+81939.26</f>
        <v>651839.44000000006</v>
      </c>
      <c r="H216" s="18">
        <f>5640.71+74104.78+377190.22+16410.94</f>
        <v>473346.64999999997</v>
      </c>
      <c r="I216" s="18">
        <f>12949+531.68</f>
        <v>13480.68</v>
      </c>
      <c r="J216" s="18">
        <f>6043.61+1316.2</f>
        <v>7359.8099999999995</v>
      </c>
      <c r="K216" s="18">
        <f>100+932.64</f>
        <v>1032.6399999999999</v>
      </c>
      <c r="L216" s="19">
        <f>SUM(F216:K216)</f>
        <v>2189938.5500000003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>
        <f>11780+3077.71+1005.02</f>
        <v>15862.73</v>
      </c>
      <c r="H217" s="18"/>
      <c r="I217" s="18"/>
      <c r="J217" s="18"/>
      <c r="K217" s="18"/>
      <c r="L217" s="19">
        <f>SUM(F217:K217)</f>
        <v>15862.73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15480+26786+23985.72+80+12969.41+4500+3957.51</f>
        <v>87758.64</v>
      </c>
      <c r="G218" s="18">
        <f>59744.82+246.83</f>
        <v>59991.65</v>
      </c>
      <c r="H218" s="18">
        <f>14962.99+665.38+222.28</f>
        <v>15850.65</v>
      </c>
      <c r="I218" s="18">
        <f>7355.36+5950.3+560.63</f>
        <v>13866.289999999999</v>
      </c>
      <c r="J218" s="18">
        <f>1449.1</f>
        <v>1449.1</v>
      </c>
      <c r="K218" s="18">
        <f>570</f>
        <v>570</v>
      </c>
      <c r="L218" s="19">
        <f>SUM(F218:K218)</f>
        <v>179486.33000000002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137142.49+74813+6483.15</f>
        <v>218438.63999999998</v>
      </c>
      <c r="G220" s="18">
        <f>39872.44+3428.24</f>
        <v>43300.68</v>
      </c>
      <c r="H220" s="18">
        <f>43886.25+7.35+174.12</f>
        <v>44067.72</v>
      </c>
      <c r="I220" s="18">
        <f>363.15+1377.99+899.51</f>
        <v>2640.6499999999996</v>
      </c>
      <c r="J220" s="18"/>
      <c r="K220" s="18"/>
      <c r="L220" s="19">
        <f t="shared" ref="L220:L226" si="2">SUM(F220:K220)</f>
        <v>308447.69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17718.47+55969.61+29041.68+14406.34+15445.48+354.63+66110.28</f>
        <v>199046.49000000002</v>
      </c>
      <c r="G221" s="18">
        <f>3735.24+39298.97+3341.54+11.87+8489.46+16570.62</f>
        <v>71447.7</v>
      </c>
      <c r="H221" s="18">
        <f>1997+16706.16+20305.17+2256.36+91787.53</f>
        <v>133052.22</v>
      </c>
      <c r="I221" s="18">
        <f>18162.77+5564.45+5727.35+25761.96</f>
        <v>55216.53</v>
      </c>
      <c r="J221" s="18">
        <f>32225.68+8322.51</f>
        <v>40548.19</v>
      </c>
      <c r="K221" s="18"/>
      <c r="L221" s="19">
        <f t="shared" si="2"/>
        <v>499311.13000000006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3661.78+167289.76+13201.97</f>
        <v>184153.51</v>
      </c>
      <c r="G222" s="18">
        <f>289.15+74800.61+9307.3</f>
        <v>84397.06</v>
      </c>
      <c r="H222" s="18">
        <f>47639.7+25379.45+3995.44</f>
        <v>77014.59</v>
      </c>
      <c r="I222" s="18">
        <f>1878.96+18463.43+328.1</f>
        <v>20670.489999999998</v>
      </c>
      <c r="J222" s="18">
        <f>156.07+15.51</f>
        <v>171.57999999999998</v>
      </c>
      <c r="K222" s="18">
        <f>1756.46+9797.1</f>
        <v>11553.560000000001</v>
      </c>
      <c r="L222" s="19">
        <f t="shared" si="2"/>
        <v>377960.79000000004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381303.07+2641.38-31460</f>
        <v>352484.45</v>
      </c>
      <c r="G223" s="18">
        <f>209983.32+202.08+13.55-0.19</f>
        <v>210198.75999999998</v>
      </c>
      <c r="H223" s="18">
        <f>47232.26</f>
        <v>47232.26</v>
      </c>
      <c r="I223" s="18">
        <f>2419.35</f>
        <v>2419.35</v>
      </c>
      <c r="J223" s="18">
        <f>1397.35</f>
        <v>1397.35</v>
      </c>
      <c r="K223" s="18">
        <f>1397.73</f>
        <v>1397.73</v>
      </c>
      <c r="L223" s="19">
        <f t="shared" si="2"/>
        <v>615129.89999999991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202509.21+115957.32</f>
        <v>318466.53000000003</v>
      </c>
      <c r="G225" s="18">
        <f>116505.1+0.6+61852.62</f>
        <v>178358.32</v>
      </c>
      <c r="H225" s="18">
        <f>42921.41</f>
        <v>42921.41</v>
      </c>
      <c r="I225" s="18">
        <f>169187.12+6859.1</f>
        <v>176046.22</v>
      </c>
      <c r="J225" s="18">
        <f>4459.85+756.64</f>
        <v>5216.4900000000007</v>
      </c>
      <c r="K225" s="18">
        <f>127.02</f>
        <v>127.02</v>
      </c>
      <c r="L225" s="19">
        <f t="shared" si="2"/>
        <v>721135.99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17808.27+74699.18+9904.27+22668.49</f>
        <v>125080.21</v>
      </c>
      <c r="G226" s="18">
        <f>15478.96+6873.4+725.27+3674.3</f>
        <v>26751.93</v>
      </c>
      <c r="H226" s="18">
        <f>20360.85+4627+3470+61036.08+24484.95</f>
        <v>113978.87999999999</v>
      </c>
      <c r="I226" s="18">
        <f>295.75+249.25+14075.42+5855.25</f>
        <v>20475.669999999998</v>
      </c>
      <c r="J226" s="18">
        <f>3913.32</f>
        <v>3913.32</v>
      </c>
      <c r="K226" s="18">
        <f>16.8</f>
        <v>16.8</v>
      </c>
      <c r="L226" s="19">
        <f t="shared" si="2"/>
        <v>290216.81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5212780.57</v>
      </c>
      <c r="G229" s="41">
        <f>SUM(G215:G228)</f>
        <v>2801959.18</v>
      </c>
      <c r="H229" s="41">
        <f>SUM(H215:H228)</f>
        <v>958958.71</v>
      </c>
      <c r="I229" s="41">
        <f>SUM(I215:I228)</f>
        <v>420418.98</v>
      </c>
      <c r="J229" s="41">
        <f>SUM(J215:J228)</f>
        <v>69172.52</v>
      </c>
      <c r="K229" s="41">
        <f t="shared" si="3"/>
        <v>26017.79</v>
      </c>
      <c r="L229" s="41">
        <f t="shared" si="3"/>
        <v>9489307.75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3256627.2+48793.15+118686.26+12823.09+0.62</f>
        <v>3436930.32</v>
      </c>
      <c r="G233" s="18">
        <f>1643789.26+3+9167.83</f>
        <v>1652960.09</v>
      </c>
      <c r="H233" s="18">
        <f>6810.94+8408.85+8182.163+1532.55</f>
        <v>24934.503000000001</v>
      </c>
      <c r="I233" s="18">
        <f>150932.91+1036.38</f>
        <v>151969.29</v>
      </c>
      <c r="J233" s="18">
        <f>53931.36</f>
        <v>53931.360000000001</v>
      </c>
      <c r="K233" s="18">
        <f>9528.62</f>
        <v>9528.6200000000008</v>
      </c>
      <c r="L233" s="19">
        <f>SUM(F233:K233)</f>
        <v>5330254.1830000002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578058.48+158573.85+281830.86</f>
        <v>1018463.19</v>
      </c>
      <c r="G234" s="18">
        <f>358288.33+109295.95</f>
        <v>467584.28</v>
      </c>
      <c r="H234" s="18">
        <f>50988.6+96569.91+621684.56+21889.99</f>
        <v>791133.06</v>
      </c>
      <c r="I234" s="18">
        <f>9058.2+709.19</f>
        <v>9767.3900000000012</v>
      </c>
      <c r="J234" s="18">
        <f>2426+1755.63</f>
        <v>4181.63</v>
      </c>
      <c r="K234" s="18">
        <f>818.03+1244.02</f>
        <v>2062.0500000000002</v>
      </c>
      <c r="L234" s="19">
        <f>SUM(F234:K234)</f>
        <v>2293191.6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552789.93</f>
        <v>552789.93000000005</v>
      </c>
      <c r="I235" s="18"/>
      <c r="J235" s="18"/>
      <c r="K235" s="18"/>
      <c r="L235" s="19">
        <f>SUM(F235:K235)</f>
        <v>552789.93000000005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86812.8+46555.26+154924.07+19726.95</f>
        <v>308019.08</v>
      </c>
      <c r="G236" s="18">
        <f>51555.13+4101.19+329.24</f>
        <v>55985.56</v>
      </c>
      <c r="H236" s="18">
        <f>52784+57004.43+313.24+1121.37+4169.87</f>
        <v>115392.90999999999</v>
      </c>
      <c r="I236" s="18">
        <f>60013.9+9574.19</f>
        <v>69588.09</v>
      </c>
      <c r="J236" s="18">
        <f>5780.59</f>
        <v>5780.59</v>
      </c>
      <c r="K236" s="18">
        <f>24796.11+19247.56</f>
        <v>44043.67</v>
      </c>
      <c r="L236" s="19">
        <f>SUM(F236:K236)</f>
        <v>598809.9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351212.01+34560+72066.07+8647.64</f>
        <v>466485.72000000003</v>
      </c>
      <c r="G238" s="18">
        <f>25582.07+224458.13+4572.81</f>
        <v>254613.01</v>
      </c>
      <c r="H238" s="18">
        <f>2454.83+287.8+232.25</f>
        <v>2974.88</v>
      </c>
      <c r="I238" s="18">
        <f>5695.54+1990.08+1199.83</f>
        <v>8885.4500000000007</v>
      </c>
      <c r="J238" s="18">
        <f>1862</f>
        <v>1862</v>
      </c>
      <c r="K238" s="18">
        <f>652+100</f>
        <v>752</v>
      </c>
      <c r="L238" s="19">
        <f t="shared" ref="L238:L244" si="4">SUM(F238:K238)</f>
        <v>735573.05999999994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84850.65+93636.52+19216.12+20602.2+473.03+88182.21</f>
        <v>306960.73</v>
      </c>
      <c r="G239" s="18">
        <f>30009.03+27675.11+4457.16+15.84+11323.8+22102.98</f>
        <v>95583.92</v>
      </c>
      <c r="H239" s="18">
        <f>1021.75+1000+22283.76+27084.37+3009.68+122432.22</f>
        <v>176831.78</v>
      </c>
      <c r="I239" s="18">
        <f>25514.66+2864.27+7639.52+34362.99</f>
        <v>70381.440000000002</v>
      </c>
      <c r="J239" s="18">
        <f>11385.79+51747.87+11101.11</f>
        <v>74234.77</v>
      </c>
      <c r="K239" s="18"/>
      <c r="L239" s="19">
        <f t="shared" si="4"/>
        <v>723992.6399999999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4884.32+223142.29+17609.66</f>
        <v>245636.27000000002</v>
      </c>
      <c r="G240" s="18">
        <f>385.69+99773.95+12414.69</f>
        <v>112574.33</v>
      </c>
      <c r="H240" s="18">
        <f>63544.95+33852.77+5329.38</f>
        <v>102727.1</v>
      </c>
      <c r="I240" s="18">
        <f>538.55+24627.74+437.64</f>
        <v>25603.93</v>
      </c>
      <c r="J240" s="18">
        <f>208.17</f>
        <v>208.17</v>
      </c>
      <c r="K240" s="18">
        <f>1967.73+2342.88+13068.01+20.69</f>
        <v>17399.310000000001</v>
      </c>
      <c r="L240" s="19">
        <f t="shared" si="4"/>
        <v>504149.11000000004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97000+124127.98+159129.66+3494.27</f>
        <v>383751.91000000003</v>
      </c>
      <c r="G241" s="18">
        <f>150378.65+267.34+17.93</f>
        <v>150663.91999999998</v>
      </c>
      <c r="H241" s="18">
        <f>8605+15574.43+13037.73+4253.79+6834.22+1297.95+530.73</f>
        <v>50133.850000000006</v>
      </c>
      <c r="I241" s="18">
        <f>23376.88</f>
        <v>23376.880000000001</v>
      </c>
      <c r="J241" s="18">
        <f>1597.5</f>
        <v>1597.5</v>
      </c>
      <c r="K241" s="18">
        <f>4565.1</f>
        <v>4565.1000000000004</v>
      </c>
      <c r="L241" s="19">
        <f t="shared" si="4"/>
        <v>614089.16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170876.9+154671.46</f>
        <v>325548.36</v>
      </c>
      <c r="G243" s="18">
        <f>124256.36+82503.07</f>
        <v>206759.43</v>
      </c>
      <c r="H243" s="18">
        <f>23568.64+7638.53+2923.04+1404.8+96575.65+159734.52+57251.39</f>
        <v>349096.57</v>
      </c>
      <c r="I243" s="18">
        <f>244927.69+9149.11</f>
        <v>254076.79999999999</v>
      </c>
      <c r="J243" s="18">
        <f>6606.59+1009.25</f>
        <v>7615.84</v>
      </c>
      <c r="K243" s="18">
        <f>169.42</f>
        <v>169.42</v>
      </c>
      <c r="L243" s="19">
        <f t="shared" si="4"/>
        <v>1143266.4200000002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23532.36+98709.62+34538.36+5638.34+13221.72+29954.79</f>
        <v>205595.19</v>
      </c>
      <c r="G244" s="18">
        <f>20454.34+9082.7+2501.65+397.07+1567.75+4855.32</f>
        <v>38858.83</v>
      </c>
      <c r="H244" s="18">
        <f>20360.85+48367.74+17349+80654.82+32355.12</f>
        <v>199087.53</v>
      </c>
      <c r="I244" s="18">
        <f>390.81+381.86+18599.66+7737.3</f>
        <v>27109.63</v>
      </c>
      <c r="J244" s="18">
        <f>5171.18</f>
        <v>5171.18</v>
      </c>
      <c r="K244" s="18">
        <f>22</f>
        <v>22</v>
      </c>
      <c r="L244" s="19">
        <f t="shared" si="4"/>
        <v>475844.36000000004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6697390.7699999996</v>
      </c>
      <c r="G247" s="41">
        <f t="shared" si="5"/>
        <v>3035583.3700000006</v>
      </c>
      <c r="H247" s="41">
        <f t="shared" si="5"/>
        <v>2365102.1129999999</v>
      </c>
      <c r="I247" s="41">
        <f t="shared" si="5"/>
        <v>640758.9</v>
      </c>
      <c r="J247" s="41">
        <f t="shared" si="5"/>
        <v>154583.04000000001</v>
      </c>
      <c r="K247" s="41">
        <f t="shared" si="5"/>
        <v>78542.17</v>
      </c>
      <c r="L247" s="41">
        <f t="shared" si="5"/>
        <v>12971960.363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1093062.95</v>
      </c>
      <c r="I255" s="18"/>
      <c r="J255" s="18"/>
      <c r="K255" s="18"/>
      <c r="L255" s="19">
        <f t="shared" si="6"/>
        <v>1093062.95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1093062.95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1093062.95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19063375.399999999</v>
      </c>
      <c r="G257" s="41">
        <f t="shared" si="8"/>
        <v>9713311.3990000002</v>
      </c>
      <c r="H257" s="41">
        <f t="shared" si="8"/>
        <v>5629421.5330000008</v>
      </c>
      <c r="I257" s="41">
        <f t="shared" si="8"/>
        <v>1436817.88</v>
      </c>
      <c r="J257" s="41">
        <f t="shared" si="8"/>
        <v>279851.38</v>
      </c>
      <c r="K257" s="41">
        <f t="shared" si="8"/>
        <v>122522.17</v>
      </c>
      <c r="L257" s="41">
        <f t="shared" si="8"/>
        <v>36245299.762000002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1320000</v>
      </c>
      <c r="L260" s="19">
        <f>SUM(F260:K260)</f>
        <v>1320000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818300</v>
      </c>
      <c r="L261" s="19">
        <f>SUM(F261:K261)</f>
        <v>818300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3832.83</v>
      </c>
      <c r="L263" s="19">
        <f>SUM(F263:K263)</f>
        <v>3832.83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200000</v>
      </c>
      <c r="L266" s="19">
        <f t="shared" si="9"/>
        <v>200000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2342132.83</v>
      </c>
      <c r="L270" s="41">
        <f t="shared" si="9"/>
        <v>2342132.83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19063375.399999999</v>
      </c>
      <c r="G271" s="42">
        <f t="shared" si="11"/>
        <v>9713311.3990000002</v>
      </c>
      <c r="H271" s="42">
        <f t="shared" si="11"/>
        <v>5629421.5330000008</v>
      </c>
      <c r="I271" s="42">
        <f t="shared" si="11"/>
        <v>1436817.88</v>
      </c>
      <c r="J271" s="42">
        <f t="shared" si="11"/>
        <v>279851.38</v>
      </c>
      <c r="K271" s="42">
        <f t="shared" si="11"/>
        <v>2464655</v>
      </c>
      <c r="L271" s="42">
        <f t="shared" si="11"/>
        <v>38587432.592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232965.65+670.25+4557.44-10000</f>
        <v>228193.34</v>
      </c>
      <c r="G276" s="18">
        <f>37718.49+1169.3+1586.42-5000</f>
        <v>35474.21</v>
      </c>
      <c r="H276" s="18">
        <f>300.49+281.32</f>
        <v>581.80999999999995</v>
      </c>
      <c r="I276" s="18">
        <f>6322.95+3230.76</f>
        <v>9553.7099999999991</v>
      </c>
      <c r="J276" s="18">
        <f>11990.8</f>
        <v>11990.8</v>
      </c>
      <c r="K276" s="18"/>
      <c r="L276" s="19">
        <f>SUM(F276:K276)</f>
        <v>285793.87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169764.69+12806-10000</f>
        <v>172570.69</v>
      </c>
      <c r="G277" s="18">
        <f>36736.22+1823.15-5000</f>
        <v>33559.370000000003</v>
      </c>
      <c r="H277" s="18">
        <f>29426.47+500</f>
        <v>29926.47</v>
      </c>
      <c r="I277" s="18">
        <f>2255.61</f>
        <v>2255.61</v>
      </c>
      <c r="J277" s="18">
        <f>2445.84</f>
        <v>2445.84</v>
      </c>
      <c r="K277" s="18"/>
      <c r="L277" s="19">
        <f>SUM(F277:K277)</f>
        <v>240757.97999999998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18080</f>
        <v>18080</v>
      </c>
      <c r="G279" s="18">
        <f>2818.53</f>
        <v>2818.53</v>
      </c>
      <c r="H279" s="18">
        <f>819.5</f>
        <v>819.5</v>
      </c>
      <c r="I279" s="18">
        <f>114.12+60.73</f>
        <v>174.85</v>
      </c>
      <c r="J279" s="18"/>
      <c r="K279" s="18"/>
      <c r="L279" s="19">
        <f>SUM(F279:K279)</f>
        <v>21892.879999999997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42.06</f>
        <v>42.06</v>
      </c>
      <c r="I281" s="18"/>
      <c r="J281" s="18"/>
      <c r="K281" s="18"/>
      <c r="L281" s="19">
        <f t="shared" ref="L281:L287" si="12">SUM(F281:K281)</f>
        <v>42.06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263.74+2208.59</f>
        <v>2472.33</v>
      </c>
      <c r="G282" s="18">
        <f>164.03+493.18</f>
        <v>657.21</v>
      </c>
      <c r="H282" s="18">
        <f>1316.65+8305.32+3588.47+19467.19+139.44-4000</f>
        <v>28817.07</v>
      </c>
      <c r="I282" s="18">
        <f>1257.55+241.76+56.35+1427.53+2007.37</f>
        <v>4990.5599999999995</v>
      </c>
      <c r="J282" s="18">
        <f>1569.61</f>
        <v>1569.61</v>
      </c>
      <c r="K282" s="18">
        <f>101.63</f>
        <v>101.63</v>
      </c>
      <c r="L282" s="19">
        <f t="shared" si="12"/>
        <v>38608.409999999996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f>1551.25</f>
        <v>1551.25</v>
      </c>
      <c r="G287" s="18">
        <f>125.81</f>
        <v>125.81</v>
      </c>
      <c r="H287" s="18"/>
      <c r="I287" s="18">
        <f>606.1</f>
        <v>606.1</v>
      </c>
      <c r="J287" s="18"/>
      <c r="K287" s="18">
        <f>1605.33</f>
        <v>1605.33</v>
      </c>
      <c r="L287" s="19">
        <f t="shared" si="12"/>
        <v>3888.49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422867.61000000004</v>
      </c>
      <c r="G290" s="42">
        <f t="shared" si="13"/>
        <v>72635.13</v>
      </c>
      <c r="H290" s="42">
        <f t="shared" si="13"/>
        <v>60186.91</v>
      </c>
      <c r="I290" s="42">
        <f t="shared" si="13"/>
        <v>17580.829999999998</v>
      </c>
      <c r="J290" s="42">
        <f t="shared" si="13"/>
        <v>16006.25</v>
      </c>
      <c r="K290" s="42">
        <f t="shared" si="13"/>
        <v>1706.96</v>
      </c>
      <c r="L290" s="41">
        <f t="shared" si="13"/>
        <v>590983.69000000006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4128.69</f>
        <v>4128.6899999999996</v>
      </c>
      <c r="G295" s="18"/>
      <c r="H295" s="18">
        <f>237.29+222.16</f>
        <v>459.45</v>
      </c>
      <c r="I295" s="18">
        <f>598.12+1095.39+438.15</f>
        <v>2131.6600000000003</v>
      </c>
      <c r="J295" s="18"/>
      <c r="K295" s="18"/>
      <c r="L295" s="19">
        <f>SUM(F295:K295)</f>
        <v>6719.7999999999993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>
        <f>23237.7-4000</f>
        <v>19237.7</v>
      </c>
      <c r="I296" s="18">
        <f>1781.23+190.92</f>
        <v>1972.15</v>
      </c>
      <c r="J296" s="18">
        <f>1931.45</f>
        <v>1931.45</v>
      </c>
      <c r="K296" s="18"/>
      <c r="L296" s="19">
        <f>SUM(F296:K296)</f>
        <v>23141.300000000003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>
        <f>11752.25</f>
        <v>11752.25</v>
      </c>
      <c r="I298" s="18">
        <f>1507.06+90.12</f>
        <v>1597.1799999999998</v>
      </c>
      <c r="J298" s="18"/>
      <c r="K298" s="18"/>
      <c r="L298" s="19">
        <f>SUM(F298:K298)</f>
        <v>13349.43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f>33.21</f>
        <v>33.21</v>
      </c>
      <c r="I300" s="18"/>
      <c r="J300" s="18"/>
      <c r="K300" s="18"/>
      <c r="L300" s="19">
        <f t="shared" ref="L300:L306" si="14">SUM(F300:K300)</f>
        <v>33.21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208.27+1744.09</f>
        <v>1952.36</v>
      </c>
      <c r="G301" s="18">
        <f>389.46</f>
        <v>389.46</v>
      </c>
      <c r="H301" s="18">
        <f>1039.74+6558.61+2833.77</f>
        <v>10432.119999999999</v>
      </c>
      <c r="I301" s="18">
        <f>379.32+44.5</f>
        <v>423.82</v>
      </c>
      <c r="J301" s="18"/>
      <c r="K301" s="18">
        <f>80.25</f>
        <v>80.25</v>
      </c>
      <c r="L301" s="19">
        <f t="shared" si="14"/>
        <v>13278.009999999998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>
        <f>1239.5</f>
        <v>1239.5</v>
      </c>
      <c r="I302" s="18"/>
      <c r="J302" s="18"/>
      <c r="K302" s="18"/>
      <c r="L302" s="19">
        <f t="shared" si="14"/>
        <v>1239.5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6081.0499999999993</v>
      </c>
      <c r="G309" s="42">
        <f t="shared" si="15"/>
        <v>389.46</v>
      </c>
      <c r="H309" s="42">
        <f t="shared" si="15"/>
        <v>43154.229999999996</v>
      </c>
      <c r="I309" s="42">
        <f t="shared" si="15"/>
        <v>6124.8099999999995</v>
      </c>
      <c r="J309" s="42">
        <f t="shared" si="15"/>
        <v>1931.45</v>
      </c>
      <c r="K309" s="42">
        <f t="shared" si="15"/>
        <v>80.25</v>
      </c>
      <c r="L309" s="41">
        <f t="shared" si="15"/>
        <v>57761.25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4800.51</f>
        <v>4800.51</v>
      </c>
      <c r="G314" s="18"/>
      <c r="H314" s="18">
        <f>316.52+296.33</f>
        <v>612.84999999999991</v>
      </c>
      <c r="I314" s="18">
        <f>7150.37</f>
        <v>7150.37</v>
      </c>
      <c r="J314" s="18"/>
      <c r="K314" s="18"/>
      <c r="L314" s="19">
        <f>SUM(F314:K314)</f>
        <v>12563.73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27737.79</f>
        <v>27737.79</v>
      </c>
      <c r="G315" s="18">
        <f>4517.51</f>
        <v>4517.51</v>
      </c>
      <c r="H315" s="18">
        <f>30995.97-3487.32</f>
        <v>27508.65</v>
      </c>
      <c r="I315" s="18">
        <f>2375.92+254.66</f>
        <v>2630.58</v>
      </c>
      <c r="J315" s="18">
        <f>2576.3</f>
        <v>2576.3000000000002</v>
      </c>
      <c r="K315" s="18"/>
      <c r="L315" s="19">
        <f>SUM(F315:K315)</f>
        <v>64970.830000000009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>
        <f>2907.97</f>
        <v>2907.97</v>
      </c>
      <c r="I317" s="18">
        <f>7465.53+120.21</f>
        <v>7585.74</v>
      </c>
      <c r="J317" s="18">
        <f>6720</f>
        <v>6720</v>
      </c>
      <c r="K317" s="18">
        <f>101.2</f>
        <v>101.2</v>
      </c>
      <c r="L317" s="19">
        <f>SUM(F317:K317)</f>
        <v>17314.91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21913.54</f>
        <v>21913.54</v>
      </c>
      <c r="I319" s="18"/>
      <c r="J319" s="18"/>
      <c r="K319" s="18"/>
      <c r="L319" s="19">
        <f t="shared" ref="L319:L325" si="16">SUM(F319:K319)</f>
        <v>21913.54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277.81+2326.39</f>
        <v>2604.1999999999998</v>
      </c>
      <c r="G320" s="18">
        <f>519.48</f>
        <v>519.48</v>
      </c>
      <c r="H320" s="18">
        <f>1386.87+8748.3+3779.87</f>
        <v>13915.039999999997</v>
      </c>
      <c r="I320" s="18">
        <f>271.29+59.36+1495.71</f>
        <v>1826.3600000000001</v>
      </c>
      <c r="J320" s="18">
        <f>1653.32</f>
        <v>1653.32</v>
      </c>
      <c r="K320" s="18">
        <f>107.05</f>
        <v>107.05</v>
      </c>
      <c r="L320" s="19">
        <f t="shared" si="16"/>
        <v>20625.449999999997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>
        <f>1638</f>
        <v>1638</v>
      </c>
      <c r="K324" s="18"/>
      <c r="L324" s="19">
        <f t="shared" si="16"/>
        <v>1638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35142.5</v>
      </c>
      <c r="G328" s="42">
        <f t="shared" si="17"/>
        <v>5036.99</v>
      </c>
      <c r="H328" s="42">
        <f t="shared" si="17"/>
        <v>66858.05</v>
      </c>
      <c r="I328" s="42">
        <f t="shared" si="17"/>
        <v>19193.050000000003</v>
      </c>
      <c r="J328" s="42">
        <f t="shared" si="17"/>
        <v>12587.619999999999</v>
      </c>
      <c r="K328" s="42">
        <f t="shared" si="17"/>
        <v>208.25</v>
      </c>
      <c r="L328" s="41">
        <f t="shared" si="17"/>
        <v>139026.46000000002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40599.3</f>
        <v>40599.300000000003</v>
      </c>
      <c r="G333" s="18">
        <f>29263.43</f>
        <v>29263.43</v>
      </c>
      <c r="H333" s="18">
        <f>1996.62</f>
        <v>1996.62</v>
      </c>
      <c r="I333" s="18">
        <f>3723.35</f>
        <v>3723.35</v>
      </c>
      <c r="J333" s="18">
        <f>488.95</f>
        <v>488.95</v>
      </c>
      <c r="K333" s="18">
        <f>258+435.7</f>
        <v>693.7</v>
      </c>
      <c r="L333" s="19">
        <f t="shared" si="18"/>
        <v>76765.350000000006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40599.300000000003</v>
      </c>
      <c r="G337" s="41">
        <f t="shared" si="19"/>
        <v>29263.43</v>
      </c>
      <c r="H337" s="41">
        <f t="shared" si="19"/>
        <v>1996.62</v>
      </c>
      <c r="I337" s="41">
        <f t="shared" si="19"/>
        <v>3723.35</v>
      </c>
      <c r="J337" s="41">
        <f t="shared" si="19"/>
        <v>488.95</v>
      </c>
      <c r="K337" s="41">
        <f t="shared" si="19"/>
        <v>693.7</v>
      </c>
      <c r="L337" s="41">
        <f t="shared" si="18"/>
        <v>76765.350000000006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504690.46</v>
      </c>
      <c r="G338" s="41">
        <f t="shared" si="20"/>
        <v>107325.01000000001</v>
      </c>
      <c r="H338" s="41">
        <f t="shared" si="20"/>
        <v>172195.81</v>
      </c>
      <c r="I338" s="41">
        <f t="shared" si="20"/>
        <v>46622.04</v>
      </c>
      <c r="J338" s="41">
        <f t="shared" si="20"/>
        <v>31014.27</v>
      </c>
      <c r="K338" s="41">
        <f t="shared" si="20"/>
        <v>2689.16</v>
      </c>
      <c r="L338" s="41">
        <f t="shared" si="20"/>
        <v>864536.75000000012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504690.46</v>
      </c>
      <c r="G352" s="41">
        <f>G338</f>
        <v>107325.01000000001</v>
      </c>
      <c r="H352" s="41">
        <f>H338</f>
        <v>172195.81</v>
      </c>
      <c r="I352" s="41">
        <f>I338</f>
        <v>46622.04</v>
      </c>
      <c r="J352" s="41">
        <f>J338</f>
        <v>31014.27</v>
      </c>
      <c r="K352" s="47">
        <f>K338+K351</f>
        <v>2689.16</v>
      </c>
      <c r="L352" s="41">
        <f>L338+L351</f>
        <v>864536.75000000012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199916.56</f>
        <v>199916.56</v>
      </c>
      <c r="I358" s="18">
        <f>13472.94</f>
        <v>13472.94</v>
      </c>
      <c r="J358" s="18">
        <f>148.11</f>
        <v>148.11000000000001</v>
      </c>
      <c r="K358" s="18"/>
      <c r="L358" s="13">
        <f>SUM(F358:K358)</f>
        <v>213537.61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157871.52</f>
        <v>157871.51999999999</v>
      </c>
      <c r="I359" s="18">
        <f>10639.4</f>
        <v>10639.4</v>
      </c>
      <c r="J359" s="18">
        <f>116.96</f>
        <v>116.96</v>
      </c>
      <c r="K359" s="18"/>
      <c r="L359" s="19">
        <f>SUM(F359:K359)</f>
        <v>168627.87999999998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210579.37</f>
        <v>210579.37</v>
      </c>
      <c r="I360" s="18">
        <f>14191.53</f>
        <v>14191.53</v>
      </c>
      <c r="J360" s="18">
        <f>156.01</f>
        <v>156.01</v>
      </c>
      <c r="K360" s="18"/>
      <c r="L360" s="19">
        <f>SUM(F360:K360)</f>
        <v>224926.91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568367.44999999995</v>
      </c>
      <c r="I362" s="47">
        <f t="shared" si="22"/>
        <v>38303.870000000003</v>
      </c>
      <c r="J362" s="47">
        <f t="shared" si="22"/>
        <v>421.08</v>
      </c>
      <c r="K362" s="47">
        <f t="shared" si="22"/>
        <v>0</v>
      </c>
      <c r="L362" s="47">
        <f t="shared" si="22"/>
        <v>607092.4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13472.94</v>
      </c>
      <c r="G368" s="63">
        <v>10639.4</v>
      </c>
      <c r="H368" s="63">
        <v>14191.53</v>
      </c>
      <c r="I368" s="56">
        <f>SUM(F368:H368)</f>
        <v>38303.870000000003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13472.94</v>
      </c>
      <c r="G369" s="47">
        <f>SUM(G367:G368)</f>
        <v>10639.4</v>
      </c>
      <c r="H369" s="47">
        <f>SUM(H367:H368)</f>
        <v>14191.53</v>
      </c>
      <c r="I369" s="47">
        <f>SUM(I367:I368)</f>
        <v>38303.870000000003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>
        <v>562.23</v>
      </c>
      <c r="K376" s="18"/>
      <c r="L376" s="13">
        <f t="shared" si="23"/>
        <v>562.23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562.23</v>
      </c>
      <c r="K382" s="47">
        <f t="shared" si="24"/>
        <v>0</v>
      </c>
      <c r="L382" s="47">
        <f t="shared" si="24"/>
        <v>562.23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30937.9</v>
      </c>
      <c r="I388" s="18"/>
      <c r="J388" s="24" t="s">
        <v>289</v>
      </c>
      <c r="K388" s="24" t="s">
        <v>289</v>
      </c>
      <c r="L388" s="56">
        <f t="shared" si="25"/>
        <v>30937.9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30937.9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30937.9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200000</v>
      </c>
      <c r="H399" s="18"/>
      <c r="I399" s="18"/>
      <c r="J399" s="24" t="s">
        <v>289</v>
      </c>
      <c r="K399" s="24" t="s">
        <v>289</v>
      </c>
      <c r="L399" s="56">
        <f t="shared" si="26"/>
        <v>200000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200000</v>
      </c>
      <c r="H408" s="47">
        <f>H393+H401+H407</f>
        <v>30937.9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230937.9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v>6614.22</v>
      </c>
      <c r="I418" s="18"/>
      <c r="J418" s="18"/>
      <c r="K418" s="18">
        <v>764423.72</v>
      </c>
      <c r="L418" s="56">
        <f t="shared" si="27"/>
        <v>771037.94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6614.22</v>
      </c>
      <c r="I419" s="139">
        <f t="shared" si="28"/>
        <v>0</v>
      </c>
      <c r="J419" s="139">
        <f t="shared" si="28"/>
        <v>0</v>
      </c>
      <c r="K419" s="139">
        <f t="shared" si="28"/>
        <v>764423.72</v>
      </c>
      <c r="L419" s="47">
        <f t="shared" si="28"/>
        <v>771037.94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6614.22</v>
      </c>
      <c r="I434" s="47">
        <f t="shared" si="32"/>
        <v>0</v>
      </c>
      <c r="J434" s="47">
        <f t="shared" si="32"/>
        <v>0</v>
      </c>
      <c r="K434" s="47">
        <f t="shared" si="32"/>
        <v>764423.72</v>
      </c>
      <c r="L434" s="47">
        <f t="shared" si="32"/>
        <v>771037.94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199717.76+1001026.71+257626.22+49940.05+1229676.11</f>
        <v>2737986.85</v>
      </c>
      <c r="G440" s="18"/>
      <c r="H440" s="18"/>
      <c r="I440" s="56">
        <f t="shared" si="33"/>
        <v>2737986.85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2737986.85</v>
      </c>
      <c r="G446" s="13">
        <f>SUM(G439:G445)</f>
        <v>0</v>
      </c>
      <c r="H446" s="13">
        <f>SUM(H439:H445)</f>
        <v>0</v>
      </c>
      <c r="I446" s="13">
        <f>SUM(I439:I445)</f>
        <v>2737986.85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181183</v>
      </c>
      <c r="G449" s="18"/>
      <c r="H449" s="18"/>
      <c r="I449" s="56">
        <f>SUM(F449:H449)</f>
        <v>181183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181183</v>
      </c>
      <c r="G452" s="72">
        <f>SUM(G448:G451)</f>
        <v>0</v>
      </c>
      <c r="H452" s="72">
        <f>SUM(H448:H451)</f>
        <v>0</v>
      </c>
      <c r="I452" s="72">
        <f>SUM(I448:I451)</f>
        <v>181183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2556803.85</v>
      </c>
      <c r="G459" s="18"/>
      <c r="H459" s="18"/>
      <c r="I459" s="56">
        <f t="shared" si="34"/>
        <v>2556803.85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2556803.85</v>
      </c>
      <c r="G460" s="83">
        <f>SUM(G454:G459)</f>
        <v>0</v>
      </c>
      <c r="H460" s="83">
        <f>SUM(H454:H459)</f>
        <v>0</v>
      </c>
      <c r="I460" s="83">
        <f>SUM(I454:I459)</f>
        <v>2556803.85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2737986.85</v>
      </c>
      <c r="G461" s="42">
        <f>G452+G460</f>
        <v>0</v>
      </c>
      <c r="H461" s="42">
        <f>H452+H460</f>
        <v>0</v>
      </c>
      <c r="I461" s="42">
        <f>I452+I460</f>
        <v>2737986.85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3466032.33</v>
      </c>
      <c r="G465" s="18">
        <v>5155</v>
      </c>
      <c r="H465" s="18">
        <v>0</v>
      </c>
      <c r="I465" s="18">
        <v>85685.59</v>
      </c>
      <c r="J465" s="18">
        <v>3096903.89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38084390.879999995</v>
      </c>
      <c r="G468" s="18">
        <f>G193</f>
        <v>627424.07999999996</v>
      </c>
      <c r="H468" s="18">
        <f>H193</f>
        <v>968281.32000000007</v>
      </c>
      <c r="I468" s="18">
        <f>I193</f>
        <v>0</v>
      </c>
      <c r="J468" s="18">
        <f>L408</f>
        <v>230937.9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38084390.879999995</v>
      </c>
      <c r="G470" s="53">
        <f>SUM(G468:G469)</f>
        <v>627424.07999999996</v>
      </c>
      <c r="H470" s="53">
        <f>SUM(H468:H469)</f>
        <v>968281.32000000007</v>
      </c>
      <c r="I470" s="53">
        <f>SUM(I468:I469)</f>
        <v>0</v>
      </c>
      <c r="J470" s="53">
        <f>SUM(J468:J469)</f>
        <v>230937.9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38587432.592</v>
      </c>
      <c r="G472" s="18">
        <f>L362</f>
        <v>607092.4</v>
      </c>
      <c r="H472" s="18">
        <f>L352</f>
        <v>864536.75000000012</v>
      </c>
      <c r="I472" s="18">
        <f>L382</f>
        <v>562.23</v>
      </c>
      <c r="J472" s="18">
        <f>L434</f>
        <v>771037.94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9091.91</v>
      </c>
      <c r="G473" s="18">
        <v>145.06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38596524.501999997</v>
      </c>
      <c r="G474" s="53">
        <f>SUM(G472:G473)</f>
        <v>607237.46000000008</v>
      </c>
      <c r="H474" s="53">
        <f>SUM(H472:H473)</f>
        <v>864536.75000000012</v>
      </c>
      <c r="I474" s="53">
        <f>SUM(I472:I473)</f>
        <v>562.23</v>
      </c>
      <c r="J474" s="53">
        <f>SUM(J472:J473)</f>
        <v>771037.94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2953898.7079999968</v>
      </c>
      <c r="G476" s="53">
        <f>(G465+G470)- G474</f>
        <v>25341.619999999879</v>
      </c>
      <c r="H476" s="53">
        <f>(H465+H470)- H474</f>
        <v>103744.56999999995</v>
      </c>
      <c r="I476" s="53">
        <f>(I465+I470)- I474</f>
        <v>85123.36</v>
      </c>
      <c r="J476" s="53">
        <f>(J465+J470)- J474</f>
        <v>2556803.85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23650600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3.38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20100000</v>
      </c>
      <c r="G495" s="18"/>
      <c r="H495" s="18"/>
      <c r="I495" s="18"/>
      <c r="J495" s="18"/>
      <c r="K495" s="53">
        <f>SUM(F495:J495)</f>
        <v>20100000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1185000</v>
      </c>
      <c r="G497" s="18"/>
      <c r="H497" s="18"/>
      <c r="I497" s="18"/>
      <c r="J497" s="18"/>
      <c r="K497" s="53">
        <f t="shared" si="35"/>
        <v>1185000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18915000</v>
      </c>
      <c r="G498" s="204"/>
      <c r="H498" s="204"/>
      <c r="I498" s="204"/>
      <c r="J498" s="204"/>
      <c r="K498" s="205">
        <f t="shared" si="35"/>
        <v>18915000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6347950</v>
      </c>
      <c r="G499" s="18"/>
      <c r="H499" s="18"/>
      <c r="I499" s="18"/>
      <c r="J499" s="18"/>
      <c r="K499" s="53">
        <f t="shared" si="35"/>
        <v>6347950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25262950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25262950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1185000</v>
      </c>
      <c r="G501" s="204"/>
      <c r="H501" s="204"/>
      <c r="I501" s="204"/>
      <c r="J501" s="204"/>
      <c r="K501" s="205">
        <f t="shared" si="35"/>
        <v>1185000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789500</v>
      </c>
      <c r="G502" s="18"/>
      <c r="H502" s="18"/>
      <c r="I502" s="18"/>
      <c r="J502" s="18"/>
      <c r="K502" s="53">
        <f t="shared" si="35"/>
        <v>789500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1974500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1974500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1419916.03</v>
      </c>
      <c r="G521" s="18">
        <v>702409</v>
      </c>
      <c r="H521" s="18">
        <v>146455.82</v>
      </c>
      <c r="I521" s="18">
        <v>6321.14</v>
      </c>
      <c r="J521" s="18">
        <v>3819.29</v>
      </c>
      <c r="K521" s="18"/>
      <c r="L521" s="88">
        <f>SUM(F521:K521)</f>
        <v>2278921.2800000003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869765.63</v>
      </c>
      <c r="G522" s="18">
        <v>604978.80000000005</v>
      </c>
      <c r="H522" s="18">
        <v>436142.1</v>
      </c>
      <c r="I522" s="18">
        <v>13116.73</v>
      </c>
      <c r="J522" s="18">
        <v>6043.61</v>
      </c>
      <c r="K522" s="18"/>
      <c r="L522" s="88">
        <f>SUM(F522:K522)</f>
        <v>1930046.8700000003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819808.1</v>
      </c>
      <c r="G523" s="18">
        <v>405078.49</v>
      </c>
      <c r="H523" s="18">
        <v>741507.19</v>
      </c>
      <c r="I523" s="18">
        <v>9281.92</v>
      </c>
      <c r="J523" s="18">
        <v>2426</v>
      </c>
      <c r="K523" s="18"/>
      <c r="L523" s="88">
        <f>SUM(F523:K523)</f>
        <v>1978101.6999999997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3109489.7600000002</v>
      </c>
      <c r="G524" s="108">
        <f t="shared" ref="G524:L524" si="36">SUM(G521:G523)</f>
        <v>1712466.29</v>
      </c>
      <c r="H524" s="108">
        <f t="shared" si="36"/>
        <v>1324105.1099999999</v>
      </c>
      <c r="I524" s="108">
        <f t="shared" si="36"/>
        <v>28719.79</v>
      </c>
      <c r="J524" s="108">
        <f t="shared" si="36"/>
        <v>12288.9</v>
      </c>
      <c r="K524" s="108">
        <f t="shared" si="36"/>
        <v>0</v>
      </c>
      <c r="L524" s="89">
        <f t="shared" si="36"/>
        <v>6187069.8499999996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219218.12</v>
      </c>
      <c r="G526" s="18">
        <v>59700.54</v>
      </c>
      <c r="H526" s="18">
        <v>47113.04</v>
      </c>
      <c r="I526" s="18">
        <v>2715.96</v>
      </c>
      <c r="J526" s="18">
        <v>4112.57</v>
      </c>
      <c r="K526" s="18"/>
      <c r="L526" s="88">
        <f>SUM(F526:K526)</f>
        <v>332860.23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173113.7</v>
      </c>
      <c r="G527" s="18">
        <v>46857.31</v>
      </c>
      <c r="H527" s="18">
        <v>37204.550000000003</v>
      </c>
      <c r="I527" s="18">
        <v>2144.5</v>
      </c>
      <c r="J527" s="18">
        <v>3247.65</v>
      </c>
      <c r="K527" s="18"/>
      <c r="L527" s="88">
        <f>SUM(F527:K527)</f>
        <v>262567.71000000002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230910.39</v>
      </c>
      <c r="G528" s="18">
        <v>62501.34</v>
      </c>
      <c r="H528" s="18">
        <v>49625.87</v>
      </c>
      <c r="I528" s="18">
        <v>2961.17</v>
      </c>
      <c r="J528" s="18">
        <v>4291.93</v>
      </c>
      <c r="K528" s="18"/>
      <c r="L528" s="88">
        <f>SUM(F528:K528)</f>
        <v>350290.69999999995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623242.21</v>
      </c>
      <c r="G529" s="89">
        <f t="shared" ref="G529:L529" si="37">SUM(G526:G528)</f>
        <v>169059.19</v>
      </c>
      <c r="H529" s="89">
        <f t="shared" si="37"/>
        <v>133943.46</v>
      </c>
      <c r="I529" s="89">
        <f t="shared" si="37"/>
        <v>7821.63</v>
      </c>
      <c r="J529" s="89">
        <f t="shared" si="37"/>
        <v>11652.15</v>
      </c>
      <c r="K529" s="89">
        <f t="shared" si="37"/>
        <v>0</v>
      </c>
      <c r="L529" s="89">
        <f t="shared" si="37"/>
        <v>945718.6399999999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48342</v>
      </c>
      <c r="G531" s="18">
        <v>10699.96</v>
      </c>
      <c r="H531" s="18"/>
      <c r="I531" s="18"/>
      <c r="J531" s="18"/>
      <c r="K531" s="18">
        <v>1181.03</v>
      </c>
      <c r="L531" s="88">
        <f>SUM(F531:K531)</f>
        <v>60222.99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38175</v>
      </c>
      <c r="G532" s="18">
        <v>8449.6200000000008</v>
      </c>
      <c r="H532" s="18"/>
      <c r="I532" s="18"/>
      <c r="J532" s="18"/>
      <c r="K532" s="18">
        <v>1032.6400000000001</v>
      </c>
      <c r="L532" s="88">
        <f>SUM(F532:K532)</f>
        <v>47657.26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50900</v>
      </c>
      <c r="G533" s="18">
        <v>11270.66</v>
      </c>
      <c r="H533" s="18"/>
      <c r="I533" s="18"/>
      <c r="J533" s="18"/>
      <c r="K533" s="18">
        <v>2062.0500000000002</v>
      </c>
      <c r="L533" s="88">
        <f>SUM(F533:K533)</f>
        <v>64232.710000000006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137417</v>
      </c>
      <c r="G534" s="89">
        <f t="shared" ref="G534:L534" si="38">SUM(G531:G533)</f>
        <v>30420.240000000002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4275.72</v>
      </c>
      <c r="L534" s="89">
        <f t="shared" si="38"/>
        <v>172112.96000000002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28469.52</f>
        <v>28469.52</v>
      </c>
      <c r="G541" s="18">
        <f>4614.58</f>
        <v>4614.58</v>
      </c>
      <c r="H541" s="18">
        <f>30750.82</f>
        <v>30750.82</v>
      </c>
      <c r="I541" s="18">
        <f>7353.65</f>
        <v>7353.65</v>
      </c>
      <c r="J541" s="18"/>
      <c r="K541" s="18"/>
      <c r="L541" s="88">
        <f>SUM(F541:K541)</f>
        <v>71188.569999999992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f>22482.01</f>
        <v>22482.01</v>
      </c>
      <c r="G542" s="18">
        <f>3644.07</f>
        <v>3644.07</v>
      </c>
      <c r="H542" s="18">
        <f>24283.53</f>
        <v>24283.53</v>
      </c>
      <c r="I542" s="18">
        <f>5807.08</f>
        <v>5807.08</v>
      </c>
      <c r="J542" s="18"/>
      <c r="K542" s="18"/>
      <c r="L542" s="88">
        <f>SUM(F542:K542)</f>
        <v>56216.69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29987.98</f>
        <v>29987.98</v>
      </c>
      <c r="G543" s="18">
        <f>4860.7</f>
        <v>4860.7</v>
      </c>
      <c r="H543" s="18">
        <f>32390.96</f>
        <v>32390.959999999999</v>
      </c>
      <c r="I543" s="18">
        <f>7745.87</f>
        <v>7745.87</v>
      </c>
      <c r="J543" s="18"/>
      <c r="K543" s="18"/>
      <c r="L543" s="88">
        <f>SUM(F543:K543)</f>
        <v>74985.509999999995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80939.509999999995</v>
      </c>
      <c r="G544" s="193">
        <f t="shared" ref="G544:L544" si="40">SUM(G541:G543)</f>
        <v>13119.349999999999</v>
      </c>
      <c r="H544" s="193">
        <f t="shared" si="40"/>
        <v>87425.31</v>
      </c>
      <c r="I544" s="193">
        <f t="shared" si="40"/>
        <v>20906.599999999999</v>
      </c>
      <c r="J544" s="193">
        <f t="shared" si="40"/>
        <v>0</v>
      </c>
      <c r="K544" s="193">
        <f t="shared" si="40"/>
        <v>0</v>
      </c>
      <c r="L544" s="193">
        <f t="shared" si="40"/>
        <v>202390.77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3951088.48</v>
      </c>
      <c r="G545" s="89">
        <f t="shared" ref="G545:L545" si="41">G524+G529+G534+G539+G544</f>
        <v>1925065.07</v>
      </c>
      <c r="H545" s="89">
        <f t="shared" si="41"/>
        <v>1545473.88</v>
      </c>
      <c r="I545" s="89">
        <f t="shared" si="41"/>
        <v>57448.02</v>
      </c>
      <c r="J545" s="89">
        <f t="shared" si="41"/>
        <v>23941.05</v>
      </c>
      <c r="K545" s="89">
        <f t="shared" si="41"/>
        <v>4275.72</v>
      </c>
      <c r="L545" s="89">
        <f t="shared" si="41"/>
        <v>7507292.2199999988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2278921.2800000003</v>
      </c>
      <c r="G549" s="87">
        <f>L526</f>
        <v>332860.23</v>
      </c>
      <c r="H549" s="87">
        <f>L531</f>
        <v>60222.99</v>
      </c>
      <c r="I549" s="87">
        <f>L536</f>
        <v>0</v>
      </c>
      <c r="J549" s="87">
        <f>L541</f>
        <v>71188.569999999992</v>
      </c>
      <c r="K549" s="87">
        <f>SUM(F549:J549)</f>
        <v>2743193.0700000003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1930046.8700000003</v>
      </c>
      <c r="G550" s="87">
        <f>L527</f>
        <v>262567.71000000002</v>
      </c>
      <c r="H550" s="87">
        <f>L532</f>
        <v>47657.26</v>
      </c>
      <c r="I550" s="87">
        <f>L537</f>
        <v>0</v>
      </c>
      <c r="J550" s="87">
        <f>L542</f>
        <v>56216.69</v>
      </c>
      <c r="K550" s="87">
        <f>SUM(F550:J550)</f>
        <v>2296488.5300000003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1978101.6999999997</v>
      </c>
      <c r="G551" s="87">
        <f>L528</f>
        <v>350290.69999999995</v>
      </c>
      <c r="H551" s="87">
        <f>L533</f>
        <v>64232.710000000006</v>
      </c>
      <c r="I551" s="87">
        <f>L538</f>
        <v>0</v>
      </c>
      <c r="J551" s="87">
        <f>L543</f>
        <v>74985.509999999995</v>
      </c>
      <c r="K551" s="87">
        <f>SUM(F551:J551)</f>
        <v>2467610.6199999992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6187069.8499999996</v>
      </c>
      <c r="G552" s="89">
        <f t="shared" si="42"/>
        <v>945718.6399999999</v>
      </c>
      <c r="H552" s="89">
        <f t="shared" si="42"/>
        <v>172112.96000000002</v>
      </c>
      <c r="I552" s="89">
        <f t="shared" si="42"/>
        <v>0</v>
      </c>
      <c r="J552" s="89">
        <f t="shared" si="42"/>
        <v>202390.77</v>
      </c>
      <c r="K552" s="89">
        <f t="shared" si="42"/>
        <v>7507292.2199999997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8182.16</v>
      </c>
      <c r="I575" s="87">
        <f>SUM(F575:H575)</f>
        <v>8182.16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5640.71</v>
      </c>
      <c r="H579" s="18">
        <v>50988.6</v>
      </c>
      <c r="I579" s="87">
        <f t="shared" si="47"/>
        <v>56629.31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81150.53</v>
      </c>
      <c r="G580" s="18">
        <v>74104.78</v>
      </c>
      <c r="H580" s="18">
        <v>96569.91</v>
      </c>
      <c r="I580" s="87">
        <f t="shared" si="47"/>
        <v>251825.22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91136.75</f>
        <v>91136.75</v>
      </c>
      <c r="G582" s="18">
        <f>377190.22</f>
        <v>377190.22</v>
      </c>
      <c r="H582" s="18">
        <f>621610</f>
        <v>621610</v>
      </c>
      <c r="I582" s="87">
        <f t="shared" si="47"/>
        <v>1089936.97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552789.93000000005</v>
      </c>
      <c r="I585" s="87">
        <f t="shared" si="47"/>
        <v>552789.93000000005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197343.26+67613.98-11908.22-2219.31</f>
        <v>250829.71</v>
      </c>
      <c r="I591" s="18">
        <f>155839.42+53393.89-16780.19+11647.06</f>
        <v>204100.18</v>
      </c>
      <c r="J591" s="18">
        <f>207868.81+71220.26+19595.11+2000-9427.75</f>
        <v>291256.43</v>
      </c>
      <c r="K591" s="104">
        <f t="shared" ref="K591:K597" si="48">SUM(H591:J591)</f>
        <v>746186.32000000007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71188.56+641.16</f>
        <v>71829.72</v>
      </c>
      <c r="I592" s="18">
        <f>56216.09+2000</f>
        <v>58216.09</v>
      </c>
      <c r="J592" s="18">
        <f>74985.5</f>
        <v>74985.5</v>
      </c>
      <c r="K592" s="104">
        <f t="shared" si="48"/>
        <v>205031.31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f>11301.62</f>
        <v>11301.62</v>
      </c>
      <c r="I593" s="18">
        <f>8924.75</f>
        <v>8924.75</v>
      </c>
      <c r="J593" s="18">
        <f>11904.41</f>
        <v>11904.41</v>
      </c>
      <c r="K593" s="104">
        <f t="shared" si="48"/>
        <v>32130.780000000002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7800.98</f>
        <v>7800.98</v>
      </c>
      <c r="J594" s="18">
        <f>85407.75</f>
        <v>85407.75</v>
      </c>
      <c r="K594" s="104">
        <f t="shared" si="48"/>
        <v>93208.73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12633.13</f>
        <v>12633.13</v>
      </c>
      <c r="I595" s="18">
        <f>11174.81</f>
        <v>11174.81</v>
      </c>
      <c r="J595" s="18">
        <f>12290.27</f>
        <v>12290.27</v>
      </c>
      <c r="K595" s="104">
        <f t="shared" si="48"/>
        <v>36098.21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346594.18</v>
      </c>
      <c r="I598" s="108">
        <f>SUM(I591:I597)</f>
        <v>290216.81</v>
      </c>
      <c r="J598" s="108">
        <f>SUM(J591:J597)</f>
        <v>475844.36</v>
      </c>
      <c r="K598" s="108">
        <f>SUM(K591:K597)</f>
        <v>1112655.3500000001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9153.79+16166.6+3819.29+179.99+3123.5+205.93+1029.22+4002.29+62743.7+1159.98+5083.15+18276.27</f>
        <v>124943.70999999999</v>
      </c>
      <c r="I604" s="18">
        <f>2600.69+6515.99+6043.61+1449.1+32225.68+4459.85+14432.54+30029.79</f>
        <v>97757.25</v>
      </c>
      <c r="J604" s="18">
        <f>33640.58+20290.78+1426+1000+5780.59+1862+3610.79+7775+51747.87+1597.5+6606.59+19251.06-66424.07</f>
        <v>88164.689999999973</v>
      </c>
      <c r="K604" s="104">
        <f>SUM(H604:J604)</f>
        <v>310865.64999999997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124943.70999999999</v>
      </c>
      <c r="I605" s="108">
        <f>SUM(I602:I604)</f>
        <v>97757.25</v>
      </c>
      <c r="J605" s="108">
        <f>SUM(J602:J604)</f>
        <v>88164.689999999973</v>
      </c>
      <c r="K605" s="108">
        <f>SUM(K602:K604)</f>
        <v>310865.64999999997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2953637</v>
      </c>
      <c r="H617" s="109">
        <f>SUM(F52)</f>
        <v>2953637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40631.35</v>
      </c>
      <c r="H618" s="109">
        <f>SUM(G52)</f>
        <v>40631.35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334068.13</v>
      </c>
      <c r="H619" s="109">
        <f>SUM(H52)</f>
        <v>334068.13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85685.59</v>
      </c>
      <c r="H620" s="109">
        <f>SUM(I52)</f>
        <v>85685.59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2737986.85</v>
      </c>
      <c r="H621" s="109">
        <f>SUM(J52)</f>
        <v>2737986.85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2953898.71</v>
      </c>
      <c r="H622" s="109">
        <f>F476</f>
        <v>2953898.7079999968</v>
      </c>
      <c r="I622" s="121" t="s">
        <v>101</v>
      </c>
      <c r="J622" s="109">
        <f t="shared" ref="J622:J655" si="50">G622-H622</f>
        <v>2.0000031217932701E-3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25341.62</v>
      </c>
      <c r="H623" s="109">
        <f>G476</f>
        <v>25341.619999999879</v>
      </c>
      <c r="I623" s="121" t="s">
        <v>102</v>
      </c>
      <c r="J623" s="109">
        <f t="shared" si="50"/>
        <v>1.2005330063402653E-10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103744.57</v>
      </c>
      <c r="H624" s="109">
        <f>H476</f>
        <v>103744.56999999995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85123.36</v>
      </c>
      <c r="H625" s="109">
        <f>I476</f>
        <v>85123.36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2556803.85</v>
      </c>
      <c r="H626" s="109">
        <f>J476</f>
        <v>2556803.85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38084390.879999995</v>
      </c>
      <c r="H627" s="104">
        <f>SUM(F468)</f>
        <v>38084390.879999995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627424.07999999996</v>
      </c>
      <c r="H628" s="104">
        <f>SUM(G468)</f>
        <v>627424.07999999996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968281.32000000007</v>
      </c>
      <c r="H629" s="104">
        <f>SUM(H468)</f>
        <v>968281.32000000007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230937.9</v>
      </c>
      <c r="H631" s="104">
        <f>SUM(J468)</f>
        <v>230937.9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38587432.592</v>
      </c>
      <c r="H632" s="104">
        <f>SUM(F472)</f>
        <v>38587432.592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864536.75000000012</v>
      </c>
      <c r="H633" s="104">
        <f>SUM(H472)</f>
        <v>864536.75000000012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38303.870000000003</v>
      </c>
      <c r="H634" s="104">
        <f>I369</f>
        <v>38303.870000000003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607092.4</v>
      </c>
      <c r="H635" s="104">
        <f>SUM(G472)</f>
        <v>607092.4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562.23</v>
      </c>
      <c r="H636" s="104">
        <f>SUM(I472)</f>
        <v>562.23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230937.9</v>
      </c>
      <c r="H637" s="164">
        <f>SUM(J468)</f>
        <v>230937.9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771037.94</v>
      </c>
      <c r="H638" s="164">
        <f>SUM(J472)</f>
        <v>771037.94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2737986.85</v>
      </c>
      <c r="H639" s="104">
        <f>SUM(F461)</f>
        <v>2737986.85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2737986.85</v>
      </c>
      <c r="H642" s="104">
        <f>SUM(I461)</f>
        <v>2737986.85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30937.9</v>
      </c>
      <c r="H644" s="104">
        <f>H408</f>
        <v>30937.9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200000</v>
      </c>
      <c r="H645" s="104">
        <f>G408</f>
        <v>200000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230937.9</v>
      </c>
      <c r="H646" s="104">
        <f>L408</f>
        <v>230937.9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1112655.3500000001</v>
      </c>
      <c r="H647" s="104">
        <f>L208+L226+L244</f>
        <v>1112655.3500000001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310865.64999999997</v>
      </c>
      <c r="H648" s="104">
        <f>(J257+J338)-(J255+J336)</f>
        <v>310865.65000000002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346594.18</v>
      </c>
      <c r="H649" s="104">
        <f>H598</f>
        <v>346594.18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290216.81</v>
      </c>
      <c r="H650" s="104">
        <f>I598</f>
        <v>290216.81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475844.36000000004</v>
      </c>
      <c r="H651" s="104">
        <f>J598</f>
        <v>475844.36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3832.83</v>
      </c>
      <c r="H652" s="104">
        <f>K263+K345</f>
        <v>3832.83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200000</v>
      </c>
      <c r="H655" s="104">
        <f>K266+K347</f>
        <v>200000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2.0000040531158447E-3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13495489.999</v>
      </c>
      <c r="G660" s="19">
        <f>(L229+L309+L359)</f>
        <v>9715696.8800000008</v>
      </c>
      <c r="H660" s="19">
        <f>(L247+L328+L360)</f>
        <v>13335913.733000001</v>
      </c>
      <c r="I660" s="19">
        <f>SUM(F660:H660)</f>
        <v>36547100.612000003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123648.24459230981</v>
      </c>
      <c r="G661" s="19">
        <f>(L359/IF(SUM(L358:L360)=0,1,SUM(L358:L360))*(SUM(G97:G110)))</f>
        <v>97643.414437965592</v>
      </c>
      <c r="H661" s="19">
        <f>(L360/IF(SUM(L358:L360)=0,1,SUM(L358:L360))*(SUM(G97:G110)))</f>
        <v>130243.18096972453</v>
      </c>
      <c r="I661" s="19">
        <f>SUM(F661:H661)</f>
        <v>351534.83999999997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345591.01999999996</v>
      </c>
      <c r="G662" s="19">
        <f>(L226+L306)-(J226+J306)</f>
        <v>286303.49</v>
      </c>
      <c r="H662" s="19">
        <f>(L244+L325)-(J244+J325)</f>
        <v>470673.18000000005</v>
      </c>
      <c r="I662" s="19">
        <f>SUM(F662:H662)</f>
        <v>1102567.69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297230.99</v>
      </c>
      <c r="G663" s="199">
        <f>SUM(G575:G587)+SUM(I602:I604)+L612</f>
        <v>554692.96</v>
      </c>
      <c r="H663" s="199">
        <f>SUM(H575:H587)+SUM(J602:J604)+L613</f>
        <v>1418305.29</v>
      </c>
      <c r="I663" s="19">
        <f>SUM(F663:H663)</f>
        <v>2270229.2400000002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12729019.744407691</v>
      </c>
      <c r="G664" s="19">
        <f>G660-SUM(G661:G663)</f>
        <v>8777057.0155620351</v>
      </c>
      <c r="H664" s="19">
        <f>H660-SUM(H661:H663)</f>
        <v>11316692.082030276</v>
      </c>
      <c r="I664" s="19">
        <f>I660-SUM(I661:I663)</f>
        <v>32822768.842000004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574.83000000000004</v>
      </c>
      <c r="G665" s="248">
        <v>451.34</v>
      </c>
      <c r="H665" s="248">
        <v>602.57000000000005</v>
      </c>
      <c r="I665" s="19">
        <f>SUM(F665:H665)</f>
        <v>1628.7400000000002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22143.97</v>
      </c>
      <c r="G667" s="19">
        <f>ROUND(G664/G665,2)</f>
        <v>19446.66</v>
      </c>
      <c r="H667" s="19">
        <f>ROUND(H664/H665,2)</f>
        <v>18780.71</v>
      </c>
      <c r="I667" s="19">
        <f>ROUND(I664/I665,2)</f>
        <v>20152.25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-20.170000000000002</v>
      </c>
      <c r="I670" s="19">
        <f>SUM(F670:H670)</f>
        <v>-20.170000000000002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22143.97</v>
      </c>
      <c r="G672" s="19">
        <f>ROUND((G664+G669)/(G665+G670),2)</f>
        <v>19446.66</v>
      </c>
      <c r="H672" s="19">
        <f>ROUND((H664+H669)/(H665+H670),2)</f>
        <v>19431.13</v>
      </c>
      <c r="I672" s="19">
        <f>ROUND((I664+I669)/(I665+I670),2)</f>
        <v>20404.939999999999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Lebanon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10232491.59</v>
      </c>
      <c r="C9" s="229">
        <f>'DOE25'!G197+'DOE25'!G215+'DOE25'!G233+'DOE25'!G276+'DOE25'!G295+'DOE25'!G314</f>
        <v>5378527.1799999997</v>
      </c>
    </row>
    <row r="10" spans="1:3" x14ac:dyDescent="0.2">
      <c r="A10" t="s">
        <v>779</v>
      </c>
      <c r="B10" s="240">
        <v>9301681.9600000009</v>
      </c>
      <c r="C10" s="240">
        <f>C9-C11-C12</f>
        <v>5064276.7399999993</v>
      </c>
    </row>
    <row r="11" spans="1:3" x14ac:dyDescent="0.2">
      <c r="A11" t="s">
        <v>780</v>
      </c>
      <c r="B11" s="240">
        <v>877799.82</v>
      </c>
      <c r="C11" s="240">
        <v>307229.37</v>
      </c>
    </row>
    <row r="12" spans="1:3" x14ac:dyDescent="0.2">
      <c r="A12" t="s">
        <v>781</v>
      </c>
      <c r="B12" s="240">
        <f>B9-B10-B11</f>
        <v>53009.809999999008</v>
      </c>
      <c r="C12" s="240">
        <v>7021.07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10232491.59</v>
      </c>
      <c r="C13" s="231">
        <f>SUM(C10:C12)</f>
        <v>5378527.1799999997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3679093.33</v>
      </c>
      <c r="C18" s="229">
        <f>'DOE25'!G198+'DOE25'!G216+'DOE25'!G234+'DOE25'!G277+'DOE25'!G296+'DOE25'!G315</f>
        <v>1919602.2500000002</v>
      </c>
    </row>
    <row r="19" spans="1:3" x14ac:dyDescent="0.2">
      <c r="A19" t="s">
        <v>779</v>
      </c>
      <c r="B19" s="240">
        <v>2463426.86</v>
      </c>
      <c r="C19" s="240">
        <f>C18-C20-C21</f>
        <v>1490618.9100000001</v>
      </c>
    </row>
    <row r="20" spans="1:3" x14ac:dyDescent="0.2">
      <c r="A20" t="s">
        <v>780</v>
      </c>
      <c r="B20" s="240">
        <v>878752.12</v>
      </c>
      <c r="C20" s="240">
        <v>307563.32</v>
      </c>
    </row>
    <row r="21" spans="1:3" x14ac:dyDescent="0.2">
      <c r="A21" t="s">
        <v>781</v>
      </c>
      <c r="B21" s="240">
        <f>B18-B19-B20</f>
        <v>336914.35000000021</v>
      </c>
      <c r="C21" s="240">
        <v>121420.02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3679093.33</v>
      </c>
      <c r="C22" s="231">
        <f>SUM(C19:C21)</f>
        <v>1919602.2500000002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15862.73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>
        <v>0</v>
      </c>
      <c r="C29" s="240">
        <v>15862.73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15862.73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446227.87</v>
      </c>
      <c r="C36" s="235">
        <f>'DOE25'!G200+'DOE25'!G218+'DOE25'!G236+'DOE25'!G279+'DOE25'!G298+'DOE25'!G317</f>
        <v>124255.29</v>
      </c>
    </row>
    <row r="37" spans="1:3" x14ac:dyDescent="0.2">
      <c r="A37" t="s">
        <v>779</v>
      </c>
      <c r="B37" s="240">
        <f>B36-B39</f>
        <v>229832.35</v>
      </c>
      <c r="C37" s="240">
        <f>C36-C39</f>
        <v>48516.86</v>
      </c>
    </row>
    <row r="38" spans="1:3" x14ac:dyDescent="0.2">
      <c r="A38" t="s">
        <v>780</v>
      </c>
      <c r="B38" s="240">
        <v>0</v>
      </c>
      <c r="C38" s="240"/>
    </row>
    <row r="39" spans="1:3" x14ac:dyDescent="0.2">
      <c r="A39" t="s">
        <v>781</v>
      </c>
      <c r="B39" s="240">
        <f>183538+8500+24357.52</f>
        <v>216395.51999999999</v>
      </c>
      <c r="C39" s="240">
        <v>75738.429999999993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446227.87</v>
      </c>
      <c r="C40" s="231">
        <f>SUM(C37:C39)</f>
        <v>124255.29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7" sqref="D1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Lebanon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24144594.353</v>
      </c>
      <c r="D5" s="20">
        <f>SUM('DOE25'!L197:L200)+SUM('DOE25'!L215:L218)+SUM('DOE25'!L233:L236)-F5-G5</f>
        <v>23951285.273000002</v>
      </c>
      <c r="E5" s="243"/>
      <c r="F5" s="255">
        <f>SUM('DOE25'!J197:J200)+SUM('DOE25'!J215:J218)+SUM('DOE25'!J233:J236)</f>
        <v>111625.58</v>
      </c>
      <c r="G5" s="53">
        <f>SUM('DOE25'!K197:K200)+SUM('DOE25'!K215:K218)+SUM('DOE25'!K233:K236)</f>
        <v>81683.5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1520721.4</v>
      </c>
      <c r="D6" s="20">
        <f>'DOE25'!L202+'DOE25'!L220+'DOE25'!L238-F6-G6</f>
        <v>1514597.98</v>
      </c>
      <c r="E6" s="243"/>
      <c r="F6" s="255">
        <f>'DOE25'!J202+'DOE25'!J220+'DOE25'!J238</f>
        <v>5371.42</v>
      </c>
      <c r="G6" s="53">
        <f>'DOE25'!K202+'DOE25'!K220+'DOE25'!K238</f>
        <v>752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1930807.1660000002</v>
      </c>
      <c r="D7" s="20">
        <f>'DOE25'!L203+'DOE25'!L221+'DOE25'!L239-F7-G7</f>
        <v>1805534.7760000001</v>
      </c>
      <c r="E7" s="243"/>
      <c r="F7" s="255">
        <f>'DOE25'!J203+'DOE25'!J221+'DOE25'!J239</f>
        <v>125272.39000000001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947508.7300000001</v>
      </c>
      <c r="D8" s="243"/>
      <c r="E8" s="20">
        <f>'DOE25'!L204+'DOE25'!L222+'DOE25'!L240-F8-G8-D9-D11</f>
        <v>915734.59000000008</v>
      </c>
      <c r="F8" s="255">
        <f>'DOE25'!J204+'DOE25'!J222+'DOE25'!J240</f>
        <v>577.38</v>
      </c>
      <c r="G8" s="53">
        <f>'DOE25'!K204+'DOE25'!K222+'DOE25'!K240</f>
        <v>31196.760000000002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197010.28</v>
      </c>
      <c r="D9" s="244">
        <v>197010.28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28951.5</v>
      </c>
      <c r="D10" s="243"/>
      <c r="E10" s="244">
        <v>28951.5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203805.8</v>
      </c>
      <c r="D11" s="244">
        <f>203805.8</f>
        <v>203805.8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1965285.1430000002</v>
      </c>
      <c r="D12" s="20">
        <f>'DOE25'!L205+'DOE25'!L223+'DOE25'!L241-F12-G12</f>
        <v>1952757.483</v>
      </c>
      <c r="E12" s="243"/>
      <c r="F12" s="255">
        <f>'DOE25'!J205+'DOE25'!J223+'DOE25'!J241</f>
        <v>4154.83</v>
      </c>
      <c r="G12" s="53">
        <f>'DOE25'!K205+'DOE25'!K223+'DOE25'!K241</f>
        <v>8372.83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3129848.5900000003</v>
      </c>
      <c r="D14" s="20">
        <f>'DOE25'!L207+'DOE25'!L225+'DOE25'!L243-F14-G14</f>
        <v>3110517.6800000006</v>
      </c>
      <c r="E14" s="243"/>
      <c r="F14" s="255">
        <f>'DOE25'!J207+'DOE25'!J225+'DOE25'!J243</f>
        <v>18873.63</v>
      </c>
      <c r="G14" s="53">
        <f>'DOE25'!K207+'DOE25'!K225+'DOE25'!K243</f>
        <v>457.28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1112655.3500000001</v>
      </c>
      <c r="D15" s="20">
        <f>'DOE25'!L208+'DOE25'!L226+'DOE25'!L244-F15-G15</f>
        <v>1098619.4000000001</v>
      </c>
      <c r="E15" s="243"/>
      <c r="F15" s="255">
        <f>'DOE25'!J208+'DOE25'!J226+'DOE25'!J244</f>
        <v>13976.15</v>
      </c>
      <c r="G15" s="53">
        <f>'DOE25'!K208+'DOE25'!K226+'DOE25'!K244</f>
        <v>59.8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1093062.95</v>
      </c>
      <c r="D22" s="243"/>
      <c r="E22" s="243"/>
      <c r="F22" s="255">
        <f>'DOE25'!L255+'DOE25'!L336</f>
        <v>1093062.95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2138300</v>
      </c>
      <c r="D25" s="243"/>
      <c r="E25" s="243"/>
      <c r="F25" s="258"/>
      <c r="G25" s="256"/>
      <c r="H25" s="257">
        <f>'DOE25'!L260+'DOE25'!L261+'DOE25'!L341+'DOE25'!L342</f>
        <v>2138300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607092.4</v>
      </c>
      <c r="D29" s="20">
        <f>'DOE25'!L358+'DOE25'!L359+'DOE25'!L360-'DOE25'!I367-F29-G29</f>
        <v>606671.32000000007</v>
      </c>
      <c r="E29" s="243"/>
      <c r="F29" s="255">
        <f>'DOE25'!J358+'DOE25'!J359+'DOE25'!J360</f>
        <v>421.08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864536.75000000012</v>
      </c>
      <c r="D31" s="20">
        <f>'DOE25'!L290+'DOE25'!L309+'DOE25'!L328+'DOE25'!L333+'DOE25'!L334+'DOE25'!L335-F31-G31</f>
        <v>830833.32000000007</v>
      </c>
      <c r="E31" s="243"/>
      <c r="F31" s="255">
        <f>'DOE25'!J290+'DOE25'!J309+'DOE25'!J328+'DOE25'!J333+'DOE25'!J334+'DOE25'!J335</f>
        <v>31014.27</v>
      </c>
      <c r="G31" s="53">
        <f>'DOE25'!K290+'DOE25'!K309+'DOE25'!K328+'DOE25'!K333+'DOE25'!K334+'DOE25'!K335</f>
        <v>2689.16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35271633.312000006</v>
      </c>
      <c r="E33" s="246">
        <f>SUM(E5:E31)</f>
        <v>944686.09000000008</v>
      </c>
      <c r="F33" s="246">
        <f>SUM(F5:F31)</f>
        <v>1404349.6800000002</v>
      </c>
      <c r="G33" s="246">
        <f>SUM(G5:G31)</f>
        <v>125211.33000000002</v>
      </c>
      <c r="H33" s="246">
        <f>SUM(H5:H31)</f>
        <v>2138300</v>
      </c>
    </row>
    <row r="35" spans="2:8" ht="12" thickBot="1" x14ac:dyDescent="0.25">
      <c r="B35" s="253" t="s">
        <v>847</v>
      </c>
      <c r="D35" s="254">
        <f>E33</f>
        <v>944686.09000000008</v>
      </c>
      <c r="E35" s="249"/>
    </row>
    <row r="36" spans="2:8" ht="12" thickTop="1" x14ac:dyDescent="0.2">
      <c r="B36" t="s">
        <v>815</v>
      </c>
      <c r="D36" s="20">
        <f>D33</f>
        <v>35271633.312000006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Lebanon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1368155.77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1390202.18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2737986.85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181183</v>
      </c>
      <c r="D11" s="95">
        <f>'DOE25'!G12</f>
        <v>7337.44</v>
      </c>
      <c r="E11" s="95">
        <f>'DOE25'!H12</f>
        <v>104870.64</v>
      </c>
      <c r="F11" s="95">
        <f>'DOE25'!I12</f>
        <v>85685.59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13144.92</v>
      </c>
      <c r="E12" s="95">
        <f>'DOE25'!H13</f>
        <v>229197.49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16360.78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3788.21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14096.05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2953637</v>
      </c>
      <c r="D18" s="41">
        <f>SUM(D8:D17)</f>
        <v>40631.35</v>
      </c>
      <c r="E18" s="41">
        <f>SUM(E8:E17)</f>
        <v>334068.13</v>
      </c>
      <c r="F18" s="41">
        <f>SUM(F8:F17)</f>
        <v>85685.59</v>
      </c>
      <c r="G18" s="41">
        <f>SUM(G8:G17)</f>
        <v>2737986.85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-30871.09</v>
      </c>
      <c r="D21" s="95">
        <f>'DOE25'!G22</f>
        <v>0</v>
      </c>
      <c r="E21" s="95" t="e">
        <f>'DOE25'!#REF!</f>
        <v>#REF!</v>
      </c>
      <c r="F21" s="95">
        <f>'DOE25'!I22</f>
        <v>562.23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'DOE25'!H22</f>
        <v>229197.49</v>
      </c>
      <c r="F22" s="95">
        <f>'DOE25'!I23</f>
        <v>0</v>
      </c>
      <c r="G22" s="95">
        <f>'DOE25'!J23</f>
        <v>181183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30609.38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15289.73</v>
      </c>
      <c r="E29" s="95">
        <f>'DOE25'!H30</f>
        <v>1126.07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-261.70999999999913</v>
      </c>
      <c r="D31" s="41">
        <f>SUM(D21:D30)</f>
        <v>15289.73</v>
      </c>
      <c r="E31" s="41" t="e">
        <f>SUM(E21:E30)</f>
        <v>#REF!</v>
      </c>
      <c r="F31" s="41">
        <f>SUM(F21:F30)</f>
        <v>562.23</v>
      </c>
      <c r="G31" s="41">
        <f>SUM(G21:G30)</f>
        <v>181183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3788.21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14096.05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85123.36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737850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21553.41</v>
      </c>
      <c r="E47" s="95">
        <f>'DOE25'!H48</f>
        <v>103744.57</v>
      </c>
      <c r="F47" s="95">
        <f>'DOE25'!I48</f>
        <v>0</v>
      </c>
      <c r="G47" s="95">
        <f>'DOE25'!J48</f>
        <v>2556803.85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204300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1447652.66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2953898.71</v>
      </c>
      <c r="D50" s="41">
        <f>SUM(D34:D49)</f>
        <v>25341.62</v>
      </c>
      <c r="E50" s="41">
        <f>SUM(E34:E49)</f>
        <v>103744.57</v>
      </c>
      <c r="F50" s="41">
        <f>SUM(F34:F49)</f>
        <v>85123.36</v>
      </c>
      <c r="G50" s="41">
        <f>SUM(G34:G49)</f>
        <v>2556803.85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2953637</v>
      </c>
      <c r="D51" s="41">
        <f>D50+D31</f>
        <v>40631.35</v>
      </c>
      <c r="E51" s="41" t="e">
        <f>E50+E31</f>
        <v>#REF!</v>
      </c>
      <c r="F51" s="41">
        <f>F50+F31</f>
        <v>85685.59</v>
      </c>
      <c r="G51" s="41">
        <f>G50+G31</f>
        <v>2737986.85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24977093.5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4302207.04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12457.37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30937.9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351534.83999999997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227474</v>
      </c>
      <c r="D61" s="95">
        <f>SUM('DOE25'!G98:G110)</f>
        <v>0</v>
      </c>
      <c r="E61" s="95">
        <f>SUM('DOE25'!H98:H110)</f>
        <v>125019.7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4542138.41</v>
      </c>
      <c r="D62" s="130">
        <f>SUM(D57:D61)</f>
        <v>351534.83999999997</v>
      </c>
      <c r="E62" s="130">
        <f>SUM(E57:E61)</f>
        <v>125019.7</v>
      </c>
      <c r="F62" s="130">
        <f>SUM(F57:F61)</f>
        <v>0</v>
      </c>
      <c r="G62" s="130">
        <f>SUM(G57:G61)</f>
        <v>30937.9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29519231.91</v>
      </c>
      <c r="D63" s="22">
        <f>D56+D62</f>
        <v>351534.83999999997</v>
      </c>
      <c r="E63" s="22">
        <f>E56+E62</f>
        <v>125019.7</v>
      </c>
      <c r="F63" s="22">
        <f>F56+F62</f>
        <v>0</v>
      </c>
      <c r="G63" s="22">
        <f>G56+G62</f>
        <v>30937.9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1901284.3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4543496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1693.77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6446474.0699999994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624308.43000000005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451016.64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181709.85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7076.26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1257034.9200000002</v>
      </c>
      <c r="D78" s="130">
        <f>SUM(D72:D77)</f>
        <v>7076.26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7703508.9899999993</v>
      </c>
      <c r="D81" s="130">
        <f>SUM(D79:D80)+D78+D70</f>
        <v>7076.26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93425.45</v>
      </c>
      <c r="D88" s="95">
        <f>SUM('DOE25'!G153:G161)</f>
        <v>264980.15000000002</v>
      </c>
      <c r="E88" s="95">
        <f>SUM('DOE25'!H153:H161)</f>
        <v>843261.62000000011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3800.81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97226.26</v>
      </c>
      <c r="D91" s="131">
        <f>SUM(D85:D90)</f>
        <v>264980.15000000002</v>
      </c>
      <c r="E91" s="131">
        <f>SUM(E85:E90)</f>
        <v>843261.62000000011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3832.83</v>
      </c>
      <c r="E96" s="95">
        <f>'DOE25'!H179</f>
        <v>0</v>
      </c>
      <c r="F96" s="95">
        <f>'DOE25'!I179</f>
        <v>0</v>
      </c>
      <c r="G96" s="95">
        <f>'DOE25'!J179</f>
        <v>200000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764423.72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764423.72</v>
      </c>
      <c r="D103" s="86">
        <f>SUM(D93:D102)</f>
        <v>3832.83</v>
      </c>
      <c r="E103" s="86">
        <f>SUM(E93:E102)</f>
        <v>0</v>
      </c>
      <c r="F103" s="86">
        <f>SUM(F93:F102)</f>
        <v>0</v>
      </c>
      <c r="G103" s="86">
        <f>SUM(G93:G102)</f>
        <v>200000</v>
      </c>
    </row>
    <row r="104" spans="1:7" ht="12.75" thickTop="1" thickBot="1" x14ac:dyDescent="0.25">
      <c r="A104" s="33" t="s">
        <v>765</v>
      </c>
      <c r="C104" s="86">
        <f>C63+C81+C91+C103</f>
        <v>38084390.879999995</v>
      </c>
      <c r="D104" s="86">
        <f>D63+D81+D91+D103</f>
        <v>627424.07999999996</v>
      </c>
      <c r="E104" s="86">
        <f>E63+E81+E91+E103</f>
        <v>968281.32000000007</v>
      </c>
      <c r="F104" s="86">
        <f>F63+F81+F91+F103</f>
        <v>0</v>
      </c>
      <c r="G104" s="86">
        <f>G63+G81+G103</f>
        <v>230937.9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15889913.762999998</v>
      </c>
      <c r="D109" s="24" t="s">
        <v>289</v>
      </c>
      <c r="E109" s="95">
        <f>('DOE25'!L276)+('DOE25'!L295)+('DOE25'!L314)</f>
        <v>305077.39999999997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6869192.0600000005</v>
      </c>
      <c r="D110" s="24" t="s">
        <v>289</v>
      </c>
      <c r="E110" s="95">
        <f>('DOE25'!L277)+('DOE25'!L296)+('DOE25'!L315)</f>
        <v>328870.11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568652.66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816835.87000000011</v>
      </c>
      <c r="D112" s="24" t="s">
        <v>289</v>
      </c>
      <c r="E112" s="95">
        <f>+('DOE25'!L279)+('DOE25'!L298)+('DOE25'!L317)</f>
        <v>52557.22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76765.350000000006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24144594.353</v>
      </c>
      <c r="D115" s="86">
        <f>SUM(D109:D114)</f>
        <v>0</v>
      </c>
      <c r="E115" s="86">
        <f>SUM(E109:E114)</f>
        <v>763270.08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1520721.4</v>
      </c>
      <c r="D118" s="24" t="s">
        <v>289</v>
      </c>
      <c r="E118" s="95">
        <f>+('DOE25'!L281)+('DOE25'!L300)+('DOE25'!L319)</f>
        <v>21988.81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1930807.1660000002</v>
      </c>
      <c r="D119" s="24" t="s">
        <v>289</v>
      </c>
      <c r="E119" s="95">
        <f>+('DOE25'!L282)+('DOE25'!L301)+('DOE25'!L320)</f>
        <v>72511.87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1348324.81</v>
      </c>
      <c r="D120" s="24" t="s">
        <v>289</v>
      </c>
      <c r="E120" s="95">
        <f>+('DOE25'!L283)+('DOE25'!L302)+('DOE25'!L321)</f>
        <v>1239.5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1965285.1430000002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3129848.5900000003</v>
      </c>
      <c r="D123" s="24" t="s">
        <v>289</v>
      </c>
      <c r="E123" s="95">
        <f>+('DOE25'!L286)+('DOE25'!L305)+('DOE25'!L324)</f>
        <v>1638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1112655.3500000001</v>
      </c>
      <c r="D124" s="24" t="s">
        <v>289</v>
      </c>
      <c r="E124" s="95">
        <f>+('DOE25'!L287)+('DOE25'!L306)+('DOE25'!L325)</f>
        <v>3888.49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607092.4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11007642.459000001</v>
      </c>
      <c r="D128" s="86">
        <f>SUM(D118:D127)</f>
        <v>607092.4</v>
      </c>
      <c r="E128" s="86">
        <f>SUM(E118:E127)</f>
        <v>101266.67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1093062.95</v>
      </c>
      <c r="D130" s="24" t="s">
        <v>289</v>
      </c>
      <c r="E130" s="129">
        <f>'DOE25'!L336</f>
        <v>0</v>
      </c>
      <c r="F130" s="129">
        <f>SUM('DOE25'!L374:'DOE25'!L380)</f>
        <v>562.23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1320000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818300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764423.72</v>
      </c>
    </row>
    <row r="135" spans="1:7" x14ac:dyDescent="0.2">
      <c r="A135" t="s">
        <v>233</v>
      </c>
      <c r="B135" s="32" t="s">
        <v>234</v>
      </c>
      <c r="C135" s="95">
        <f>'DOE25'!L263</f>
        <v>3832.83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30937.9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-30937.899999999994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3435195.7800000003</v>
      </c>
      <c r="D144" s="141">
        <f>SUM(D130:D143)</f>
        <v>0</v>
      </c>
      <c r="E144" s="141">
        <f>SUM(E130:E143)</f>
        <v>0</v>
      </c>
      <c r="F144" s="141">
        <f>SUM(F130:F143)</f>
        <v>562.23</v>
      </c>
      <c r="G144" s="141">
        <f>SUM(G130:G143)</f>
        <v>764423.72</v>
      </c>
    </row>
    <row r="145" spans="1:9" ht="12.75" thickTop="1" thickBot="1" x14ac:dyDescent="0.25">
      <c r="A145" s="33" t="s">
        <v>244</v>
      </c>
      <c r="C145" s="86">
        <f>(C115+C128+C144)</f>
        <v>38587432.592</v>
      </c>
      <c r="D145" s="86">
        <f>(D115+D128+D144)</f>
        <v>607092.4</v>
      </c>
      <c r="E145" s="86">
        <f>(E115+E128+E144)</f>
        <v>864536.75</v>
      </c>
      <c r="F145" s="86">
        <f>(F115+F128+F144)</f>
        <v>562.23</v>
      </c>
      <c r="G145" s="86">
        <f>(G115+G128+G144)</f>
        <v>764423.72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1/32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23650600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3.38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20100000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20100000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1185000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1185000</v>
      </c>
    </row>
    <row r="159" spans="1:9" x14ac:dyDescent="0.2">
      <c r="A159" s="22" t="s">
        <v>35</v>
      </c>
      <c r="B159" s="137">
        <f>'DOE25'!F498</f>
        <v>18915000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18915000</v>
      </c>
    </row>
    <row r="160" spans="1:9" x14ac:dyDescent="0.2">
      <c r="A160" s="22" t="s">
        <v>36</v>
      </c>
      <c r="B160" s="137">
        <f>'DOE25'!F499</f>
        <v>6347950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6347950</v>
      </c>
    </row>
    <row r="161" spans="1:7" x14ac:dyDescent="0.2">
      <c r="A161" s="22" t="s">
        <v>37</v>
      </c>
      <c r="B161" s="137">
        <f>'DOE25'!F500</f>
        <v>25262950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25262950</v>
      </c>
    </row>
    <row r="162" spans="1:7" x14ac:dyDescent="0.2">
      <c r="A162" s="22" t="s">
        <v>38</v>
      </c>
      <c r="B162" s="137">
        <f>'DOE25'!F501</f>
        <v>1185000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1185000</v>
      </c>
    </row>
    <row r="163" spans="1:7" x14ac:dyDescent="0.2">
      <c r="A163" s="22" t="s">
        <v>39</v>
      </c>
      <c r="B163" s="137">
        <f>'DOE25'!F502</f>
        <v>789500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789500</v>
      </c>
    </row>
    <row r="164" spans="1:7" x14ac:dyDescent="0.2">
      <c r="A164" s="22" t="s">
        <v>246</v>
      </c>
      <c r="B164" s="137">
        <f>'DOE25'!F503</f>
        <v>1974500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1974500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Lebanon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22144</v>
      </c>
    </row>
    <row r="5" spans="1:4" x14ac:dyDescent="0.2">
      <c r="B5" t="s">
        <v>704</v>
      </c>
      <c r="C5" s="179">
        <f>IF('DOE25'!G665+'DOE25'!G670=0,0,ROUND('DOE25'!G672,0))</f>
        <v>19447</v>
      </c>
    </row>
    <row r="6" spans="1:4" x14ac:dyDescent="0.2">
      <c r="B6" t="s">
        <v>62</v>
      </c>
      <c r="C6" s="179">
        <f>IF('DOE25'!H665+'DOE25'!H670=0,0,ROUND('DOE25'!H672,0))</f>
        <v>19431</v>
      </c>
    </row>
    <row r="7" spans="1:4" x14ac:dyDescent="0.2">
      <c r="B7" t="s">
        <v>705</v>
      </c>
      <c r="C7" s="179">
        <f>IF('DOE25'!I665+'DOE25'!I670=0,0,ROUND('DOE25'!I672,0))</f>
        <v>20405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16194991</v>
      </c>
      <c r="D10" s="182">
        <f>ROUND((C10/$C$28)*100,1)</f>
        <v>43.7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7198062</v>
      </c>
      <c r="D11" s="182">
        <f>ROUND((C11/$C$28)*100,1)</f>
        <v>19.399999999999999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568653</v>
      </c>
      <c r="D12" s="182">
        <f>ROUND((C12/$C$28)*100,1)</f>
        <v>1.5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869393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1542710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2003319</v>
      </c>
      <c r="D16" s="182">
        <f t="shared" si="0"/>
        <v>5.4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1349564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1965285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3131487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1116544</v>
      </c>
      <c r="D21" s="182">
        <f t="shared" si="0"/>
        <v>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76765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818300</v>
      </c>
      <c r="D25" s="182">
        <f t="shared" si="0"/>
        <v>2.2000000000000002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255557.16000000003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37090630.159999996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1093625</v>
      </c>
    </row>
    <row r="30" spans="1:4" x14ac:dyDescent="0.2">
      <c r="B30" s="187" t="s">
        <v>729</v>
      </c>
      <c r="C30" s="180">
        <f>SUM(C28:C29)</f>
        <v>38184255.159999996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1320000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24977094</v>
      </c>
      <c r="D35" s="182">
        <f t="shared" ref="D35:D40" si="1">ROUND((C35/$C$41)*100,1)</f>
        <v>64.7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4698095.5099999979</v>
      </c>
      <c r="D36" s="182">
        <f t="shared" si="1"/>
        <v>12.2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6444780</v>
      </c>
      <c r="D37" s="182">
        <f t="shared" si="1"/>
        <v>16.7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1265805</v>
      </c>
      <c r="D38" s="182">
        <f t="shared" si="1"/>
        <v>3.3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1205468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38591242.509999998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Lebanon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2016-09-09T13:47:41Z</cp:lastPrinted>
  <dcterms:created xsi:type="dcterms:W3CDTF">1997-12-04T19:04:30Z</dcterms:created>
  <dcterms:modified xsi:type="dcterms:W3CDTF">2016-11-30T16:28:06Z</dcterms:modified>
</cp:coreProperties>
</file>