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2" i="1" l="1"/>
  <c r="H202" i="1"/>
  <c r="H234" i="1"/>
  <c r="H216" i="1"/>
  <c r="H198" i="1"/>
  <c r="H277" i="1"/>
  <c r="F468" i="1"/>
  <c r="F160" i="1"/>
  <c r="F14" i="1"/>
  <c r="H12" i="1"/>
  <c r="H281" i="1"/>
  <c r="H159" i="1"/>
  <c r="H282" i="1"/>
  <c r="H326" i="1"/>
  <c r="H307" i="1"/>
  <c r="H288" i="1"/>
  <c r="H13" i="1" l="1"/>
  <c r="I12" i="1"/>
  <c r="I49" i="1"/>
  <c r="F57" i="1"/>
  <c r="F22" i="1" l="1"/>
  <c r="H22" i="1"/>
  <c r="H468" i="1"/>
  <c r="H220" i="1" l="1"/>
  <c r="D11" i="13"/>
  <c r="C39" i="12"/>
  <c r="C37" i="12"/>
  <c r="B37" i="12"/>
  <c r="B39" i="12"/>
  <c r="C19" i="12" l="1"/>
  <c r="B19" i="12"/>
  <c r="C20" i="12"/>
  <c r="B20" i="12" l="1"/>
  <c r="B21" i="12"/>
  <c r="C10" i="12"/>
  <c r="B10" i="12"/>
  <c r="C11" i="12"/>
  <c r="B12" i="12"/>
  <c r="H611" i="1"/>
  <c r="G611" i="1"/>
  <c r="F611" i="1"/>
  <c r="G613" i="1"/>
  <c r="F613" i="1"/>
  <c r="G612" i="1"/>
  <c r="F612" i="1"/>
  <c r="I613" i="1"/>
  <c r="I611" i="1"/>
  <c r="J604" i="1"/>
  <c r="H604" i="1"/>
  <c r="I604" i="1"/>
  <c r="J595" i="1"/>
  <c r="H595" i="1"/>
  <c r="J594" i="1"/>
  <c r="I594" i="1"/>
  <c r="J593" i="1"/>
  <c r="J592" i="1"/>
  <c r="I592" i="1"/>
  <c r="H592" i="1"/>
  <c r="J591" i="1"/>
  <c r="I591" i="1"/>
  <c r="H591" i="1"/>
  <c r="F582" i="1"/>
  <c r="H584" i="1"/>
  <c r="H582" i="1"/>
  <c r="H579" i="1"/>
  <c r="K268" i="1"/>
  <c r="J96" i="1"/>
  <c r="G179" i="1"/>
  <c r="G158" i="1"/>
  <c r="G132" i="1"/>
  <c r="G97" i="1"/>
  <c r="H155" i="1"/>
  <c r="H146" i="1"/>
  <c r="H154" i="1"/>
  <c r="G40" i="1"/>
  <c r="H24" i="1" l="1"/>
  <c r="H30" i="1"/>
  <c r="H28" i="1"/>
  <c r="H400" i="1"/>
  <c r="J426" i="1"/>
  <c r="H399" i="1"/>
  <c r="H397" i="1"/>
  <c r="H396" i="1"/>
  <c r="G400" i="1"/>
  <c r="G399" i="1"/>
  <c r="G397" i="1"/>
  <c r="G396" i="1"/>
  <c r="H360" i="1" l="1"/>
  <c r="I359" i="1"/>
  <c r="H359" i="1"/>
  <c r="I358" i="1"/>
  <c r="H358" i="1"/>
  <c r="I276" i="1"/>
  <c r="J315" i="1"/>
  <c r="I315" i="1"/>
  <c r="F315" i="1"/>
  <c r="H319" i="1"/>
  <c r="H300" i="1"/>
  <c r="K314" i="1"/>
  <c r="K295" i="1"/>
  <c r="H315" i="1"/>
  <c r="K277" i="1"/>
  <c r="I277" i="1"/>
  <c r="G277" i="1"/>
  <c r="F277" i="1"/>
  <c r="G281" i="1"/>
  <c r="F281" i="1"/>
  <c r="J276" i="1"/>
  <c r="G276" i="1"/>
  <c r="I320" i="1"/>
  <c r="I301" i="1"/>
  <c r="I282" i="1"/>
  <c r="H320" i="1"/>
  <c r="H301" i="1"/>
  <c r="I241" i="1"/>
  <c r="H241" i="1"/>
  <c r="H223" i="1"/>
  <c r="H205" i="1"/>
  <c r="I240" i="1"/>
  <c r="H240" i="1"/>
  <c r="I222" i="1"/>
  <c r="H222" i="1"/>
  <c r="K204" i="1"/>
  <c r="I204" i="1"/>
  <c r="H204" i="1"/>
  <c r="I202" i="1"/>
  <c r="I238" i="1"/>
  <c r="I236" i="1"/>
  <c r="J233" i="1"/>
  <c r="I233" i="1"/>
  <c r="H233" i="1"/>
  <c r="I215" i="1"/>
  <c r="J197" i="1"/>
  <c r="F202" i="1"/>
  <c r="K263" i="1" l="1"/>
  <c r="H245" i="1"/>
  <c r="H209" i="1"/>
  <c r="H244" i="1"/>
  <c r="G244" i="1"/>
  <c r="F244" i="1"/>
  <c r="H226" i="1"/>
  <c r="H208" i="1"/>
  <c r="J244" i="1"/>
  <c r="I244" i="1"/>
  <c r="G226" i="1"/>
  <c r="F226" i="1"/>
  <c r="G208" i="1"/>
  <c r="F208" i="1"/>
  <c r="H243" i="1"/>
  <c r="I208" i="1"/>
  <c r="H225" i="1"/>
  <c r="H207" i="1"/>
  <c r="I243" i="1"/>
  <c r="I225" i="1"/>
  <c r="I207" i="1"/>
  <c r="K243" i="1"/>
  <c r="J243" i="1"/>
  <c r="G243" i="1"/>
  <c r="F243" i="1"/>
  <c r="K225" i="1"/>
  <c r="J225" i="1"/>
  <c r="G225" i="1"/>
  <c r="F225" i="1"/>
  <c r="K207" i="1"/>
  <c r="J207" i="1"/>
  <c r="G207" i="1"/>
  <c r="F207" i="1"/>
  <c r="K241" i="1"/>
  <c r="J241" i="1"/>
  <c r="G241" i="1"/>
  <c r="F241" i="1"/>
  <c r="K223" i="1"/>
  <c r="J223" i="1"/>
  <c r="I223" i="1"/>
  <c r="G223" i="1"/>
  <c r="F223" i="1"/>
  <c r="K205" i="1"/>
  <c r="J205" i="1"/>
  <c r="I205" i="1"/>
  <c r="G205" i="1"/>
  <c r="F205" i="1"/>
  <c r="K240" i="1"/>
  <c r="G240" i="1"/>
  <c r="F240" i="1"/>
  <c r="K222" i="1"/>
  <c r="G222" i="1"/>
  <c r="F222" i="1"/>
  <c r="G204" i="1"/>
  <c r="F204" i="1"/>
  <c r="H239" i="1"/>
  <c r="H221" i="1"/>
  <c r="H203" i="1"/>
  <c r="I239" i="1"/>
  <c r="I221" i="1"/>
  <c r="I203" i="1"/>
  <c r="K239" i="1"/>
  <c r="J203" i="1"/>
  <c r="G239" i="1"/>
  <c r="F239" i="1"/>
  <c r="G221" i="1"/>
  <c r="F221" i="1"/>
  <c r="G203" i="1"/>
  <c r="F203" i="1"/>
  <c r="H238" i="1"/>
  <c r="G202" i="1"/>
  <c r="G238" i="1"/>
  <c r="F238" i="1"/>
  <c r="I220" i="1"/>
  <c r="G220" i="1"/>
  <c r="F220" i="1"/>
  <c r="J238" i="1"/>
  <c r="K202" i="1"/>
  <c r="G236" i="1"/>
  <c r="F236" i="1"/>
  <c r="G218" i="1"/>
  <c r="F218" i="1"/>
  <c r="I200" i="1"/>
  <c r="G200" i="1"/>
  <c r="F200" i="1"/>
  <c r="K236" i="1"/>
  <c r="H236" i="1"/>
  <c r="K218" i="1"/>
  <c r="I218" i="1"/>
  <c r="H218" i="1"/>
  <c r="H235" i="1"/>
  <c r="I198" i="1"/>
  <c r="G198" i="1"/>
  <c r="F198" i="1"/>
  <c r="G234" i="1"/>
  <c r="F234" i="1"/>
  <c r="G216" i="1"/>
  <c r="F216" i="1"/>
  <c r="I234" i="1"/>
  <c r="J216" i="1"/>
  <c r="I216" i="1"/>
  <c r="K198" i="1"/>
  <c r="K233" i="1"/>
  <c r="G233" i="1"/>
  <c r="F233" i="1"/>
  <c r="K215" i="1"/>
  <c r="J215" i="1"/>
  <c r="H215" i="1"/>
  <c r="G215" i="1"/>
  <c r="F215" i="1"/>
  <c r="K197" i="1"/>
  <c r="I197" i="1"/>
  <c r="H197" i="1"/>
  <c r="G197" i="1"/>
  <c r="F197" i="1"/>
  <c r="F110" i="1"/>
  <c r="F44" i="1" l="1"/>
  <c r="F28" i="1" l="1"/>
  <c r="F9" i="1"/>
  <c r="C45" i="2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C112" i="2" s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D18" i="13" s="1"/>
  <c r="C18" i="13" s="1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2" i="10"/>
  <c r="C13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F661" i="1"/>
  <c r="G661" i="1"/>
  <c r="H661" i="1"/>
  <c r="F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0" i="2"/>
  <c r="C111" i="2"/>
  <c r="E111" i="2"/>
  <c r="E112" i="2"/>
  <c r="C113" i="2"/>
  <c r="E113" i="2"/>
  <c r="C114" i="2"/>
  <c r="E114" i="2"/>
  <c r="D115" i="2"/>
  <c r="F115" i="2"/>
  <c r="G115" i="2"/>
  <c r="E118" i="2"/>
  <c r="E119" i="2"/>
  <c r="E120" i="2"/>
  <c r="E121" i="2"/>
  <c r="C122" i="2"/>
  <c r="E122" i="2"/>
  <c r="E123" i="2"/>
  <c r="C124" i="2"/>
  <c r="E124" i="2"/>
  <c r="C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J634" i="1" s="1"/>
  <c r="H635" i="1"/>
  <c r="H636" i="1"/>
  <c r="H637" i="1"/>
  <c r="H638" i="1"/>
  <c r="G639" i="1"/>
  <c r="H639" i="1"/>
  <c r="J639" i="1" s="1"/>
  <c r="G640" i="1"/>
  <c r="H640" i="1"/>
  <c r="G641" i="1"/>
  <c r="H641" i="1"/>
  <c r="G642" i="1"/>
  <c r="H642" i="1"/>
  <c r="G643" i="1"/>
  <c r="H643" i="1"/>
  <c r="J643" i="1" s="1"/>
  <c r="G644" i="1"/>
  <c r="H644" i="1"/>
  <c r="G645" i="1"/>
  <c r="H645" i="1"/>
  <c r="G649" i="1"/>
  <c r="G651" i="1"/>
  <c r="J651" i="1" s="1"/>
  <c r="G652" i="1"/>
  <c r="H652" i="1"/>
  <c r="G653" i="1"/>
  <c r="H653" i="1"/>
  <c r="G654" i="1"/>
  <c r="H654" i="1"/>
  <c r="H655" i="1"/>
  <c r="F192" i="1"/>
  <c r="L256" i="1"/>
  <c r="G164" i="2"/>
  <c r="C26" i="10"/>
  <c r="L351" i="1"/>
  <c r="L290" i="1"/>
  <c r="C70" i="2"/>
  <c r="A40" i="12"/>
  <c r="D62" i="2"/>
  <c r="D63" i="2" s="1"/>
  <c r="D18" i="2"/>
  <c r="C91" i="2"/>
  <c r="D31" i="2"/>
  <c r="D50" i="2"/>
  <c r="G156" i="2"/>
  <c r="E103" i="2"/>
  <c r="E62" i="2"/>
  <c r="E63" i="2" s="1"/>
  <c r="G62" i="2"/>
  <c r="D19" i="13"/>
  <c r="C19" i="13" s="1"/>
  <c r="E78" i="2"/>
  <c r="E81" i="2" s="1"/>
  <c r="L427" i="1"/>
  <c r="H112" i="1"/>
  <c r="F112" i="1"/>
  <c r="J641" i="1"/>
  <c r="J571" i="1"/>
  <c r="K571" i="1"/>
  <c r="L433" i="1"/>
  <c r="L419" i="1"/>
  <c r="I169" i="1"/>
  <c r="H169" i="1"/>
  <c r="G552" i="1"/>
  <c r="J644" i="1"/>
  <c r="J476" i="1"/>
  <c r="H626" i="1" s="1"/>
  <c r="H476" i="1"/>
  <c r="H624" i="1" s="1"/>
  <c r="F476" i="1"/>
  <c r="H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98" i="1"/>
  <c r="G647" i="1" s="1"/>
  <c r="K545" i="1"/>
  <c r="J552" i="1"/>
  <c r="H552" i="1"/>
  <c r="C29" i="10"/>
  <c r="I661" i="1"/>
  <c r="H140" i="1"/>
  <c r="L401" i="1"/>
  <c r="C139" i="2" s="1"/>
  <c r="L393" i="1"/>
  <c r="F22" i="13"/>
  <c r="C22" i="13" s="1"/>
  <c r="H25" i="13"/>
  <c r="C25" i="13" s="1"/>
  <c r="J640" i="1"/>
  <c r="H571" i="1"/>
  <c r="L560" i="1"/>
  <c r="J545" i="1"/>
  <c r="F338" i="1"/>
  <c r="F352" i="1" s="1"/>
  <c r="G192" i="1"/>
  <c r="H192" i="1"/>
  <c r="F552" i="1"/>
  <c r="C35" i="10"/>
  <c r="J655" i="1"/>
  <c r="J645" i="1"/>
  <c r="L570" i="1"/>
  <c r="I571" i="1"/>
  <c r="I545" i="1"/>
  <c r="J636" i="1"/>
  <c r="G36" i="2"/>
  <c r="L565" i="1"/>
  <c r="G545" i="1"/>
  <c r="H545" i="1"/>
  <c r="K551" i="1"/>
  <c r="K552" i="1" s="1"/>
  <c r="C138" i="2"/>
  <c r="H33" i="13"/>
  <c r="F18" i="2" l="1"/>
  <c r="D17" i="13"/>
  <c r="C17" i="13" s="1"/>
  <c r="E16" i="13"/>
  <c r="C16" i="13" s="1"/>
  <c r="E13" i="13"/>
  <c r="C13" i="13" s="1"/>
  <c r="H257" i="1"/>
  <c r="H271" i="1" s="1"/>
  <c r="K257" i="1"/>
  <c r="K271" i="1" s="1"/>
  <c r="D81" i="2"/>
  <c r="D29" i="13"/>
  <c r="C29" i="13" s="1"/>
  <c r="J624" i="1"/>
  <c r="E125" i="2"/>
  <c r="E128" i="2" s="1"/>
  <c r="H338" i="1"/>
  <c r="H352" i="1" s="1"/>
  <c r="A13" i="12"/>
  <c r="J617" i="1"/>
  <c r="J649" i="1"/>
  <c r="G161" i="2"/>
  <c r="G157" i="2"/>
  <c r="E115" i="2"/>
  <c r="D91" i="2"/>
  <c r="F78" i="2"/>
  <c r="F81" i="2" s="1"/>
  <c r="C78" i="2"/>
  <c r="C81" i="2" s="1"/>
  <c r="E31" i="2"/>
  <c r="C18" i="2"/>
  <c r="L545" i="1"/>
  <c r="J622" i="1"/>
  <c r="L328" i="1"/>
  <c r="L309" i="1"/>
  <c r="C10" i="10"/>
  <c r="L211" i="1"/>
  <c r="C21" i="10"/>
  <c r="D15" i="13"/>
  <c r="C15" i="13" s="1"/>
  <c r="G650" i="1"/>
  <c r="H647" i="1"/>
  <c r="J647" i="1" s="1"/>
  <c r="G662" i="1"/>
  <c r="I662" i="1" s="1"/>
  <c r="C123" i="2"/>
  <c r="D14" i="13"/>
  <c r="C14" i="13" s="1"/>
  <c r="C18" i="10"/>
  <c r="D12" i="13"/>
  <c r="C12" i="13" s="1"/>
  <c r="C121" i="2"/>
  <c r="J257" i="1"/>
  <c r="J271" i="1" s="1"/>
  <c r="I257" i="1"/>
  <c r="I271" i="1" s="1"/>
  <c r="E8" i="13"/>
  <c r="C8" i="13" s="1"/>
  <c r="F660" i="1"/>
  <c r="F664" i="1" s="1"/>
  <c r="F672" i="1" s="1"/>
  <c r="C4" i="10" s="1"/>
  <c r="C17" i="10"/>
  <c r="C120" i="2"/>
  <c r="C16" i="10"/>
  <c r="D7" i="13"/>
  <c r="C7" i="13" s="1"/>
  <c r="C119" i="2"/>
  <c r="L247" i="1"/>
  <c r="C15" i="10"/>
  <c r="D6" i="13"/>
  <c r="C6" i="13" s="1"/>
  <c r="C118" i="2"/>
  <c r="L229" i="1"/>
  <c r="D5" i="13"/>
  <c r="C5" i="13" s="1"/>
  <c r="C11" i="10"/>
  <c r="C110" i="2"/>
  <c r="C115" i="2" s="1"/>
  <c r="G257" i="1"/>
  <c r="G271" i="1" s="1"/>
  <c r="C62" i="2"/>
  <c r="C63" i="2" s="1"/>
  <c r="C104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G18" i="2" s="1"/>
  <c r="J19" i="1"/>
  <c r="G621" i="1" s="1"/>
  <c r="F33" i="13"/>
  <c r="F545" i="1"/>
  <c r="H434" i="1"/>
  <c r="J620" i="1"/>
  <c r="J619" i="1"/>
  <c r="D103" i="2"/>
  <c r="D104" i="2" s="1"/>
  <c r="I140" i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G664" i="1" l="1"/>
  <c r="G672" i="1" s="1"/>
  <c r="C5" i="10" s="1"/>
  <c r="H660" i="1"/>
  <c r="H664" i="1" s="1"/>
  <c r="H667" i="1" s="1"/>
  <c r="I193" i="1"/>
  <c r="G630" i="1" s="1"/>
  <c r="J630" i="1" s="1"/>
  <c r="G104" i="2"/>
  <c r="E51" i="2"/>
  <c r="D31" i="13"/>
  <c r="C31" i="13" s="1"/>
  <c r="F667" i="1"/>
  <c r="L257" i="1"/>
  <c r="L271" i="1" s="1"/>
  <c r="G632" i="1" s="1"/>
  <c r="J632" i="1" s="1"/>
  <c r="G667" i="1"/>
  <c r="E33" i="13"/>
  <c r="D35" i="13" s="1"/>
  <c r="C128" i="2"/>
  <c r="C145" i="2" s="1"/>
  <c r="H672" i="1"/>
  <c r="C6" i="10" s="1"/>
  <c r="C28" i="10"/>
  <c r="D23" i="10" s="1"/>
  <c r="I660" i="1"/>
  <c r="I664" i="1" s="1"/>
  <c r="I672" i="1" s="1"/>
  <c r="C7" i="10" s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27" i="10"/>
  <c r="D18" i="10"/>
  <c r="D17" i="10"/>
  <c r="D12" i="10"/>
  <c r="D20" i="10"/>
  <c r="D15" i="10"/>
  <c r="D25" i="10"/>
  <c r="D19" i="10"/>
  <c r="D24" i="10"/>
  <c r="D10" i="10"/>
  <c r="D13" i="10"/>
  <c r="D26" i="10"/>
  <c r="D11" i="10"/>
  <c r="C30" i="10"/>
  <c r="D21" i="10"/>
  <c r="D16" i="10"/>
  <c r="D22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<sst xmlns="http://schemas.openxmlformats.org/spreadsheetml/2006/main" count="3956" uniqueCount="914">
  <si>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</si>
  <si>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</si>
  <si>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</si>
  <si>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</si>
  <si>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</si>
  <si>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</si>
  <si>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</si>
  <si>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</si>
  <si>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</si>
  <si>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</si>
  <si>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</si>
  <si>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</si>
  <si>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</si>
  <si>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</si>
  <si>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</si>
  <si>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</si>
  <si>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</si>
  <si>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</si>
  <si>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</si>
  <si>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</si>
  <si>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</si>
  <si>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</si>
  <si>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</si>
  <si>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</si>
  <si>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</si>
  <si>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</si>
  <si>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</si>
  <si>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</si>
  <si>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</si>
  <si>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</si>
  <si>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</si>
  <si>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</si>
  <si>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</si>
  <si>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</si>
  <si>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</si>
  <si>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</si>
  <si>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</si>
  <si>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</si>
  <si>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</si>
  <si>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</si>
  <si>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</si>
  <si>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</si>
  <si>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</si>
  <si>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</si>
  <si>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</si>
  <si>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</si>
  <si>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</si>
  <si>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</si>
  <si>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</si>
  <si>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</si>
  <si>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</si>
  <si>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</si>
  <si>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</si>
  <si>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</si>
  <si>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</si>
  <si>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</si>
  <si>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</si>
  <si>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</si>
  <si>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</si>
  <si>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</si>
  <si>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</si>
  <si>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</si>
  <si>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</si>
  <si>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</si>
  <si>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</si>
  <si>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</si>
  <si>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</si>
  <si>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</si>
  <si>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</si>
  <si>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</si>
  <si>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</si>
  <si>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</si>
  <si>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</si>
  <si>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</si>
  <si>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</si>
  <si>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</si>
  <si>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</si>
  <si>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</si>
  <si>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</si>
  <si>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</si>
  <si>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</si>
  <si>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</si>
  <si>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</si>
  <si>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</si>
  <si>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</si>
  <si>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</si>
  <si>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</si>
  <si>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</si>
  <si>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</si>
  <si>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</si>
  <si>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</si>
  <si>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</si>
  <si>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</si>
  <si>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</si>
  <si>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</si>
  <si>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</si>
  <si>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</si>
  <si>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</si>
  <si>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</si>
  <si>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</si>
  <si>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</si>
  <si>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</si>
  <si>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</si>
  <si>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</si>
  <si>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</si>
  <si>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</si>
  <si>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</si>
  <si>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</si>
  <si>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</si>
  <si>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</si>
  <si>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</si>
  <si>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</si>
  <si>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</si>
  <si>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</si>
  <si>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</si>
  <si>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</si>
  <si>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</si>
  <si>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</si>
  <si>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</si>
  <si>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</si>
  <si>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</si>
  <si>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</si>
  <si>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</si>
  <si>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</si>
  <si>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</si>
  <si>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</si>
  <si>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</si>
  <si>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</si>
  <si>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</si>
  <si>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</si>
  <si>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</si>
  <si>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</si>
  <si>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</si>
  <si>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</si>
  <si>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</si>
  <si>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</si>
  <si>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</si>
  <si>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</si>
  <si>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</si>
  <si>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</si>
  <si>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</si>
  <si>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</si>
  <si>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</si>
  <si>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</si>
  <si>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</si>
  <si>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</si>
  <si>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</si>
  <si>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</si>
  <si>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</si>
  <si>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</si>
  <si>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</si>
  <si>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</si>
  <si>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</si>
  <si>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</si>
  <si>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</si>
  <si>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</si>
  <si>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</si>
  <si>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</si>
  <si>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</si>
  <si>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</si>
  <si>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</si>
  <si>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</si>
  <si>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</si>
  <si>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</si>
  <si>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</si>
  <si>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</si>
  <si>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</si>
  <si>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</si>
  <si>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</si>
  <si>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</si>
  <si>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</si>
  <si>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</si>
  <si>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</si>
  <si>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</si>
  <si>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</si>
  <si>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</si>
  <si>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</si>
  <si>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</si>
  <si>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</si>
  <si>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</si>
  <si>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</si>
  <si>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</si>
  <si>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</si>
  <si>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</si>
  <si>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</si>
  <si>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</si>
  <si>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</si>
  <si>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</si>
  <si>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</si>
  <si>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</si>
  <si>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</si>
  <si>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</si>
  <si>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</si>
  <si>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</si>
  <si>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</si>
  <si>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</si>
  <si>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</si>
  <si>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</si>
  <si>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</si>
  <si>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</si>
  <si>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</si>
  <si>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</si>
  <si>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</si>
  <si>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</si>
  <si>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</si>
  <si>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</si>
  <si>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</si>
  <si>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</si>
  <si>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</si>
  <si>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</si>
  <si>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</si>
  <si>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</si>
  <si>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</si>
  <si>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</si>
  <si>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</si>
  <si>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</si>
  <si>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</si>
  <si>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</si>
  <si>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</si>
  <si>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</si>
  <si>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</si>
  <si>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</si>
  <si>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</si>
  <si>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</si>
  <si>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</si>
  <si>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</si>
  <si>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</si>
  <si>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</si>
  <si>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</si>
  <si>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</si>
  <si>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</si>
  <si>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</si>
  <si>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</si>
  <si>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</si>
  <si>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</si>
  <si>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</si>
  <si>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</si>
  <si>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</si>
  <si>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</si>
  <si>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</si>
  <si>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</si>
  <si>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</si>
  <si>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</si>
  <si>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</si>
  <si>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</si>
  <si>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</si>
  <si>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</si>
  <si>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</si>
  <si>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</si>
  <si>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</si>
  <si>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</si>
  <si>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</si>
  <si>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</si>
  <si>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</si>
  <si>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</si>
  <si>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</si>
  <si>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</si>
  <si>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</si>
  <si>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</si>
  <si>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</si>
  <si>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</si>
  <si>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</si>
  <si>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</si>
  <si>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</si>
  <si>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</si>
  <si>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</si>
  <si>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</si>
  <si>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</si>
  <si>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</si>
  <si>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</si>
  <si>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</si>
  <si>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</si>
  <si>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</si>
  <si>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</si>
  <si>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</si>
  <si>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</si>
  <si>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</si>
  <si>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</si>
  <si>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</si>
  <si>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</si>
  <si>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</si>
  <si>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</si>
  <si>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</si>
  <si>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</si>
  <si>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</si>
  <si>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</si>
  <si>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</si>
  <si>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</si>
  <si>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</si>
  <si>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</si>
  <si>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</si>
  <si>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</si>
  <si>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</si>
  <si>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</si>
  <si>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</si>
  <si>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</si>
  <si>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</si>
  <si>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</si>
  <si>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</si>
  <si>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</si>
  <si>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</si>
  <si>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</si>
  <si>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</si>
  <si>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</si>
  <si>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</si>
  <si>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</si>
  <si>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</si>
  <si>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</si>
  <si>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</si>
  <si>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</si>
  <si>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</si>
  <si>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</si>
  <si>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</si>
  <si>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</si>
  <si>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</si>
  <si>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</si>
  <si>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</si>
  <si>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</si>
  <si>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</si>
  <si>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</si>
  <si>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</si>
  <si>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</si>
  <si>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</si>
  <si>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</si>
  <si>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</si>
  <si>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</si>
  <si>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</si>
  <si>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</si>
  <si>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</si>
  <si>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</si>
  <si>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</si>
  <si>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</si>
  <si>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</si>
  <si>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</si>
  <si>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</si>
  <si>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</si>
  <si>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</si>
  <si>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</si>
  <si>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</si>
  <si>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</si>
  <si>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</si>
  <si>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</si>
  <si>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</si>
  <si>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</si>
  <si>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</si>
  <si>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</si>
  <si>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</si>
  <si>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</si>
  <si>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</si>
  <si>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</si>
  <si>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</si>
  <si>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</si>
  <si>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</si>
  <si>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</si>
  <si>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</si>
  <si>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</si>
  <si>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</si>
  <si>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</si>
  <si>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</si>
  <si>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</si>
  <si>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</si>
  <si>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</si>
  <si>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</si>
  <si>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</si>
  <si>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</si>
  <si>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</si>
  <si>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</si>
  <si>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</si>
  <si>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</si>
  <si>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</si>
  <si>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</si>
  <si>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</si>
  <si>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</si>
  <si>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</si>
  <si>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</si>
  <si>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</si>
  <si>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</si>
  <si>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</si>
  <si>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</si>
  <si>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</si>
  <si>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</si>
  <si>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</si>
  <si>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</si>
  <si>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</si>
  <si>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</si>
  <si>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</si>
  <si>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</si>
  <si>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</si>
  <si>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</si>
  <si>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</si>
  <si>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</si>
  <si>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</si>
  <si>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</si>
  <si>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</si>
  <si>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</si>
  <si>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</si>
  <si>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</si>
  <si>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</si>
  <si>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</si>
  <si>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</si>
  <si>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</si>
  <si>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</si>
  <si>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</si>
  <si>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</si>
  <si>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</si>
  <si>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</si>
  <si>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</si>
  <si>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</si>
  <si>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</si>
  <si>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</si>
  <si>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</si>
  <si>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</si>
  <si>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</si>
  <si>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</si>
  <si>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</si>
  <si>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</si>
  <si>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</si>
  <si>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</si>
  <si>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</si>
  <si>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</si>
  <si>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</si>
  <si>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</si>
  <si>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</si>
  <si>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</si>
  <si>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</si>
  <si>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</si>
  <si>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</si>
  <si>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</si>
  <si>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</si>
  <si>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</si>
  <si>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</si>
  <si>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</si>
  <si>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</si>
  <si>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</si>
  <si>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</si>
  <si>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</si>
  <si>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</si>
  <si>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</si>
  <si>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</si>
  <si>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</si>
  <si>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</si>
  <si>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</si>
  <si>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</si>
  <si>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</si>
  <si>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</si>
  <si>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</si>
  <si>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</si>
  <si>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</si>
  <si>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</si>
  <si>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</si>
  <si>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</si>
  <si>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</si>
  <si>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</si>
  <si>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</si>
  <si>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</si>
  <si>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</si>
  <si>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</si>
  <si>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</si>
  <si>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</si>
  <si>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</si>
  <si>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</si>
  <si>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</si>
  <si>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</si>
  <si>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</si>
  <si>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</si>
  <si>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</si>
  <si>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</si>
  <si>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</si>
  <si>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</si>
  <si>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</si>
  <si>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</si>
  <si>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</si>
  <si>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</si>
  <si>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</si>
  <si>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</si>
  <si>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</si>
  <si>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</si>
  <si>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</si>
  <si>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</si>
  <si>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</si>
  <si>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</si>
  <si>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</si>
  <si>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</si>
  <si>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</si>
  <si>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</si>
  <si>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</si>
  <si>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</si>
  <si>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</si>
  <si>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</si>
  <si>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</si>
  <si>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</si>
  <si>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</si>
  <si>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</si>
  <si>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</si>
  <si>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</si>
  <si>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</si>
  <si>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</si>
  <si>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</si>
  <si>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</si>
  <si>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</si>
  <si>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</si>
  <si>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</si>
  <si>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</si>
  <si>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</si>
  <si>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</si>
  <si>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</si>
  <si>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</si>
  <si>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</si>
  <si>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</si>
  <si>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</si>
  <si>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</si>
  <si>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</si>
  <si>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</si>
  <si>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</si>
  <si>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</si>
  <si>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</si>
  <si>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</si>
  <si>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</si>
  <si>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</si>
  <si>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</si>
  <si>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</si>
  <si>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</si>
  <si>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</si>
  <si>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</si>
  <si>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</si>
  <si>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</si>
  <si>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</si>
  <si>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</si>
  <si>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</si>
  <si>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</si>
  <si>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</si>
  <si>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</si>
  <si>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</si>
  <si>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</si>
  <si>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</si>
  <si>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</si>
  <si>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</si>
  <si>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</si>
  <si>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</si>
  <si>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</si>
  <si>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</si>
  <si>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</si>
  <si>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</si>
  <si>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</si>
  <si>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</si>
  <si>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</si>
  <si>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</si>
  <si>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</si>
  <si>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</si>
  <si>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</si>
  <si>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</si>
  <si>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</si>
  <si>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</si>
  <si>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</si>
  <si>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</si>
  <si>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</si>
  <si>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</si>
  <si>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</si>
  <si>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</si>
  <si>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</si>
  <si>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</si>
  <si>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</si>
  <si>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</si>
  <si>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</si>
  <si>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</si>
  <si>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</si>
  <si>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</si>
  <si>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</si>
  <si>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</si>
  <si>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</si>
  <si>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</si>
  <si>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</si>
  <si>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</si>
  <si>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</si>
  <si>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</si>
  <si>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</si>
  <si>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</si>
  <si>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</si>
  <si>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</si>
  <si>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</si>
  <si>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</si>
  <si>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</si>
  <si>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</si>
  <si>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</si>
  <si>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</si>
  <si>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</si>
  <si>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</si>
  <si>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</si>
  <si>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</si>
  <si>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</si>
  <si>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</si>
  <si>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</si>
  <si>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</si>
  <si>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</si>
  <si>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</si>
  <si>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</si>
  <si>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</si>
  <si>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</si>
  <si>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</si>
  <si>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</si>
  <si>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</si>
  <si>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</si>
  <si>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</si>
  <si>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</si>
  <si>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</si>
  <si>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</si>
  <si>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</si>
  <si>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</si>
  <si>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</si>
  <si>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</si>
  <si>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</si>
  <si>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</si>
  <si>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</si>
  <si>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</si>
  <si>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</si>
  <si>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</si>
  <si>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</si>
  <si>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</si>
  <si>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</si>
  <si>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</si>
  <si>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</si>
  <si>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</si>
  <si>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</si>
  <si>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</si>
  <si>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</si>
  <si>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</si>
  <si>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</si>
  <si>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</si>
  <si>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</si>
  <si>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</si>
  <si>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</si>
  <si>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</si>
  <si>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</si>
  <si>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</si>
  <si>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</si>
  <si>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</si>
  <si>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</si>
  <si>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</si>
  <si>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</si>
  <si>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</si>
  <si>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</si>
  <si>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</si>
  <si>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</si>
  <si>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</si>
  <si>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</si>
  <si>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</si>
  <si>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</si>
  <si>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</si>
  <si>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</si>
  <si>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</si>
  <si>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</si>
  <si>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</si>
  <si>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</si>
  <si>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</si>
  <si>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</si>
  <si>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</si>
  <si>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</si>
  <si>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</si>
  <si>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</si>
  <si>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</si>
  <si>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</si>
  <si>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</si>
  <si>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</si>
  <si>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</si>
  <si>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</si>
  <si>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</si>
  <si>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</si>
  <si>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</si>
  <si>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</si>
  <si>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</si>
  <si>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</si>
  <si>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</si>
  <si>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</si>
  <si>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</si>
  <si>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</si>
  <si>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</si>
  <si>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</si>
  <si>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</si>
  <si>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</si>
  <si>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</si>
  <si>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</si>
  <si>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</si>
  <si>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</si>
  <si>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</si>
  <si>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</si>
  <si>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</si>
  <si>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</si>
  <si>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</si>
  <si>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</si>
  <si>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</si>
  <si>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</si>
  <si>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</si>
  <si>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</si>
  <si>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</si>
  <si>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</si>
  <si>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</si>
  <si>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</si>
  <si>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</si>
  <si>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</si>
  <si>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</si>
  <si>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</si>
  <si>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</si>
  <si>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</si>
  <si>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</si>
  <si>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</si>
  <si>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</si>
  <si>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</si>
  <si>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</si>
  <si>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</si>
  <si>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</si>
  <si>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</si>
  <si>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</si>
  <si>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</si>
  <si>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</si>
  <si>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</si>
  <si>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</si>
  <si>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</si>
  <si>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</si>
  <si>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</si>
  <si>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</si>
  <si>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</si>
  <si>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</si>
  <si>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</si>
  <si>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</si>
  <si>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</si>
  <si>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</si>
  <si>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</si>
  <si>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</si>
  <si>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</si>
  <si>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</si>
  <si>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</si>
  <si>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</si>
  <si>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</si>
  <si>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</si>
  <si>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</si>
  <si>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</si>
  <si>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</si>
  <si>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</si>
  <si>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</si>
  <si>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</si>
  <si>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</si>
  <si>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</si>
  <si>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</si>
  <si>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</si>
  <si>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</si>
  <si>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</si>
  <si>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</si>
  <si>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</si>
  <si>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</si>
  <si>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</si>
  <si>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</si>
  <si>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</si>
  <si>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</si>
  <si>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</si>
  <si>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</si>
  <si>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</si>
  <si>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</si>
  <si>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</si>
  <si>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</si>
  <si>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</si>
  <si>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</si>
  <si>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</si>
  <si>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</si>
  <si>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</si>
  <si>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</si>
  <si>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</si>
  <si>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</si>
  <si>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</si>
  <si>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</si>
  <si>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</si>
  <si>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</si>
  <si>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</si>
  <si>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</si>
  <si>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</si>
  <si>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</si>
  <si>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</si>
  <si>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</si>
  <si>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</si>
  <si>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</si>
  <si>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</si>
  <si>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</si>
  <si>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</si>
  <si>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</si>
  <si>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</si>
  <si>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</si>
  <si>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</si>
  <si>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</si>
  <si>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</si>
  <si>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</si>
  <si>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</si>
  <si>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</si>
  <si>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</si>
  <si>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</si>
  <si>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</si>
  <si>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</si>
  <si>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</si>
  <si>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</si>
  <si>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</si>
  <si>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</si>
  <si>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</si>
  <si>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</si>
  <si>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</si>
  <si>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</si>
  <si>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</si>
  <si>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</si>
  <si>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</si>
  <si>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</si>
  <si>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</si>
  <si>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</si>
  <si>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</si>
  <si>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</si>
  <si>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</si>
  <si>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</si>
  <si>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</si>
  <si>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</si>
  <si>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</si>
  <si>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</si>
  <si>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</si>
  <si>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</si>
  <si>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</si>
  <si>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</si>
  <si>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</si>
  <si>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</si>
  <si>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</si>
  <si>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</si>
  <si>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</si>
  <si>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</si>
  <si>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</si>
  <si>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</si>
  <si>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</si>
  <si>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</si>
  <si>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</si>
  <si>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</si>
  <si>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</si>
  <si>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</si>
  <si>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</si>
  <si>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</si>
  <si>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</si>
  <si>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</si>
  <si>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</si>
  <si>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</si>
  <si>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</si>
  <si>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</si>
  <si>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</si>
  <si>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</si>
  <si>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</si>
  <si>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</si>
  <si>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</si>
  <si>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</si>
  <si>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</si>
  <si>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</si>
  <si>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</si>
  <si>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</si>
  <si>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</si>
  <si>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</si>
  <si>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</si>
  <si>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</si>
  <si>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</si>
  <si>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</si>
  <si>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</si>
  <si>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</si>
  <si>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</si>
  <si>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</si>
  <si>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</si>
  <si>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</si>
  <si>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</si>
  <si>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</si>
  <si>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</si>
  <si>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</si>
  <si>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</si>
  <si>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</si>
  <si>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</si>
  <si>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</si>
  <si>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</si>
  <si>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</si>
  <si>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</si>
  <si>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</si>
  <si>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</si>
  <si>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</si>
  <si>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</si>
  <si>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</si>
  <si>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</si>
  <si>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</si>
  <si>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</si>
  <si>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</si>
  <si>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</si>
  <si>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</si>
  <si>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</si>
  <si>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</si>
  <si>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</si>
  <si>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</si>
  <si>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</si>
  <si>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</si>
  <si>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</si>
  <si>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</si>
  <si>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</si>
  <si>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</si>
  <si>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</si>
  <si>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</si>
  <si>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</si>
  <si>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</si>
  <si>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</si>
  <si>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</si>
  <si>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</si>
  <si>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</si>
  <si>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</si>
  <si>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</si>
  <si>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</si>
  <si>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</si>
  <si>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</si>
  <si>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</si>
  <si>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</si>
  <si>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Fresh Fruits &amp; Vegetables Grant</t>
  </si>
  <si>
    <t>Lincoln-Woodstock Cooperative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</si>
</sst>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4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913</v>
      </c>
      <c r="B2" s="21">
        <v>305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739186.08+4498.12</f>
        <v>743684.2</v>
      </c>
      <c r="G9" s="18"/>
      <c r="H9" s="18"/>
      <c r="I9" s="18"/>
      <c r="J9" s="67">
        <f>SUM(I439)</f>
        <v>368566.49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620156.82-205000-5080.93-1771.85-57407.2-28968.24-51700.03</f>
        <v>270228.56999999995</v>
      </c>
      <c r="G12" s="18"/>
      <c r="H12" s="18">
        <f>6288.1+1733.04+5080.93</f>
        <v>13102.07</v>
      </c>
      <c r="I12" s="18">
        <f>205000+1771.85</f>
        <v>206771.85</v>
      </c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16818.509999999998</v>
      </c>
      <c r="H13" s="18">
        <f>5701.69+81322.56+44293.2+43.84+3650+3833.99</f>
        <v>138845.28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5824.23+7828.12</f>
        <v>13652.349999999999</v>
      </c>
      <c r="G14" s="18">
        <v>12031.25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1027565.1199999999</v>
      </c>
      <c r="G19" s="41">
        <f>SUM(G9:G18)</f>
        <v>28849.759999999998</v>
      </c>
      <c r="H19" s="41">
        <f>SUM(H9:H18)</f>
        <v>151947.35</v>
      </c>
      <c r="I19" s="41">
        <f>SUM(I9:I18)</f>
        <v>206771.85</v>
      </c>
      <c r="J19" s="41">
        <f>SUM(J9:J18)</f>
        <v>368566.49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f>324187.06+37363.82</f>
        <v>361550.88</v>
      </c>
      <c r="G22" s="18">
        <v>19806.09</v>
      </c>
      <c r="H22" s="18">
        <f>3240.25+1154.1+71497.57+43229.19+299.35+6331.94+3650+676+2740.94</f>
        <v>132819.34000000003</v>
      </c>
      <c r="I22" s="18">
        <v>114001.65</v>
      </c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37588.49</v>
      </c>
      <c r="G24" s="18"/>
      <c r="H24" s="18">
        <f>2072+1093.05</f>
        <v>3165.05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186094.26+13157.82+29160.99+57922.78+1181.67-397.42</f>
        <v>287120.09999999998</v>
      </c>
      <c r="G28" s="18"/>
      <c r="H28" s="18">
        <f>8216.66+514.23+1094.1</f>
        <v>9824.99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2140</v>
      </c>
      <c r="G30" s="18"/>
      <c r="H30" s="18">
        <f>1057.04</f>
        <v>1057.04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688399.47</v>
      </c>
      <c r="G32" s="41">
        <f>SUM(G22:G31)</f>
        <v>19806.09</v>
      </c>
      <c r="H32" s="41">
        <f>SUM(H22:H31)</f>
        <v>146866.42000000001</v>
      </c>
      <c r="I32" s="41">
        <f>SUM(I22:I31)</f>
        <v>114001.65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9043.67</f>
        <v>9043.67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>
        <v>85000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f>100000</f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368566.49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24257.4</v>
      </c>
      <c r="G49" s="18"/>
      <c r="H49" s="18">
        <v>5080.93</v>
      </c>
      <c r="I49" s="18">
        <f>1771.85+5998.35</f>
        <v>7770.2000000000007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214908.25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339165.65</v>
      </c>
      <c r="G51" s="41">
        <f>SUM(G35:G50)</f>
        <v>9043.67</v>
      </c>
      <c r="H51" s="41">
        <f>SUM(H35:H50)</f>
        <v>5080.93</v>
      </c>
      <c r="I51" s="41">
        <f>SUM(I35:I50)</f>
        <v>92770.2</v>
      </c>
      <c r="J51" s="41">
        <f>SUM(J35:J50)</f>
        <v>368566.49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1027565.12</v>
      </c>
      <c r="G52" s="41">
        <f>G51+G32</f>
        <v>28849.760000000002</v>
      </c>
      <c r="H52" s="41">
        <f>H51+H32</f>
        <v>151947.35</v>
      </c>
      <c r="I52" s="41">
        <f>I51+I32</f>
        <v>206771.84999999998</v>
      </c>
      <c r="J52" s="41">
        <f>J51+J32</f>
        <v>368566.49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3739889-205000</f>
        <v>3534889</v>
      </c>
      <c r="G57" s="18"/>
      <c r="H57" s="18"/>
      <c r="I57" s="18">
        <v>205000</v>
      </c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3534889</v>
      </c>
      <c r="G60" s="41">
        <f>SUM(G57:G59)</f>
        <v>0</v>
      </c>
      <c r="H60" s="41">
        <f>SUM(H57:H59)</f>
        <v>0</v>
      </c>
      <c r="I60" s="41">
        <f>SUM(I57:I59)</f>
        <v>205000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610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610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0.43</v>
      </c>
      <c r="G96" s="18"/>
      <c r="H96" s="18"/>
      <c r="I96" s="18"/>
      <c r="J96" s="18">
        <f>11.48+647.92</f>
        <v>659.4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6470.75+26231.2+4430.8+5106.45+6456.5+100</f>
        <v>48795.7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1676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2799.31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500</v>
      </c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992.45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12820.9+7470.54</f>
        <v>20291.439999999999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26259.629999999997</v>
      </c>
      <c r="G111" s="41">
        <f>SUM(G96:G110)</f>
        <v>48795.7</v>
      </c>
      <c r="H111" s="41">
        <f>SUM(H96:H110)</f>
        <v>0</v>
      </c>
      <c r="I111" s="41">
        <f>SUM(I96:I110)</f>
        <v>0</v>
      </c>
      <c r="J111" s="41">
        <f>SUM(J96:J110)</f>
        <v>659.4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3561758.63</v>
      </c>
      <c r="G112" s="41">
        <f>G60+G111</f>
        <v>48795.7</v>
      </c>
      <c r="H112" s="41">
        <f>H60+H79+H94+H111</f>
        <v>0</v>
      </c>
      <c r="I112" s="41">
        <f>I60+I111</f>
        <v>205000</v>
      </c>
      <c r="J112" s="41">
        <f>J60+J111</f>
        <v>659.4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268857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2378187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2647044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46702.02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11052.8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f>1797.79</f>
        <v>1797.79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57754.819999999992</v>
      </c>
      <c r="G136" s="41">
        <f>SUM(G123:G135)</f>
        <v>1797.79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2704798.82</v>
      </c>
      <c r="G140" s="41">
        <f>G121+SUM(G136:G137)</f>
        <v>1797.79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>
        <f>6331.94</f>
        <v>6331.94</v>
      </c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6331.94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104606.5</f>
        <v>104606.5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12753.74+7075.76</f>
        <v>19829.5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3184.32+7204.37+75963.37+6164.61</f>
        <v>92516.67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910.95+78247.5+3833.99</f>
        <v>82992.44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f>32708.56+7828.12</f>
        <v>40536.68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40536.68</v>
      </c>
      <c r="G162" s="41">
        <f>SUM(G150:G161)</f>
        <v>92516.67</v>
      </c>
      <c r="H162" s="41">
        <f>SUM(H150:H161)</f>
        <v>207428.44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53842.71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94379.39</v>
      </c>
      <c r="G169" s="41">
        <f>G147+G162+SUM(G163:G168)</f>
        <v>92516.67</v>
      </c>
      <c r="H169" s="41">
        <f>H147+H162+SUM(H163:H168)</f>
        <v>213760.38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f>15185.74</f>
        <v>15185.74</v>
      </c>
      <c r="H179" s="18"/>
      <c r="I179" s="18"/>
      <c r="J179" s="18">
        <v>100000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15185.74</v>
      </c>
      <c r="H183" s="41">
        <f>SUM(H179:H182)</f>
        <v>0</v>
      </c>
      <c r="I183" s="41">
        <f>SUM(I179:I182)</f>
        <v>0</v>
      </c>
      <c r="J183" s="41">
        <f>SUM(J179:J182)</f>
        <v>100000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15185.74</v>
      </c>
      <c r="H192" s="41">
        <f>+H183+SUM(H188:H191)</f>
        <v>0</v>
      </c>
      <c r="I192" s="41">
        <f>I177+I183+SUM(I188:I191)</f>
        <v>0</v>
      </c>
      <c r="J192" s="41">
        <f>J183</f>
        <v>100000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6360936.8399999989</v>
      </c>
      <c r="G193" s="47">
        <f>G112+G140+G169+G192</f>
        <v>158295.9</v>
      </c>
      <c r="H193" s="47">
        <f>H112+H140+H169+H192</f>
        <v>213760.38</v>
      </c>
      <c r="I193" s="47">
        <f>I112+I140+I169+I192</f>
        <v>205000</v>
      </c>
      <c r="J193" s="47">
        <f>J112+J140+J192</f>
        <v>100659.4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822410.66+22995</f>
        <v>845405.66</v>
      </c>
      <c r="G197" s="18">
        <f>242938.2+6141.99+914.75+288.53+64067.74+192.67+133609.91+1403.19</f>
        <v>449556.98000000004</v>
      </c>
      <c r="H197" s="18">
        <f>27500.24+5790.22+6362.6+42.66</f>
        <v>39695.72</v>
      </c>
      <c r="I197" s="18">
        <f>11128.48+7458.61+5547.43+1202.44+4163.94</f>
        <v>29500.899999999998</v>
      </c>
      <c r="J197" s="18">
        <f>240.18+541+2060.37+3448.59+582.95+442.17</f>
        <v>7315.26</v>
      </c>
      <c r="K197" s="18">
        <f>1842.15</f>
        <v>1842.15</v>
      </c>
      <c r="L197" s="19">
        <f>SUM(F197:K197)</f>
        <v>1373316.67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199358.39+15140+2750+2000</f>
        <v>219248.39</v>
      </c>
      <c r="G198" s="18">
        <f>54900.77+1548.12+162.2+16091.22+7480.1+22318.52+340.14+203.32+212.4+4.69+133.61+67.02+172.37</f>
        <v>103634.48000000001</v>
      </c>
      <c r="H198" s="18">
        <f>2722.78+6020+1708.59+194.68+6061+1620+3469.5+200+11286.6+302.95</f>
        <v>33586.1</v>
      </c>
      <c r="I198" s="18">
        <f>209.15+60+5177.5+1628.28</f>
        <v>7074.9299999999994</v>
      </c>
      <c r="J198" s="18"/>
      <c r="K198" s="18">
        <f>337.25</f>
        <v>337.25</v>
      </c>
      <c r="L198" s="19">
        <f>SUM(F198:K198)</f>
        <v>363881.14999999997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639+11980</f>
        <v>12619</v>
      </c>
      <c r="G200" s="18">
        <f>45.52+100.13+364.73+898.05+332.54+925.7</f>
        <v>2666.67</v>
      </c>
      <c r="H200" s="18"/>
      <c r="I200" s="18">
        <f>38.24</f>
        <v>38.24</v>
      </c>
      <c r="J200" s="18"/>
      <c r="K200" s="18"/>
      <c r="L200" s="19">
        <f>SUM(F200:K200)</f>
        <v>15323.91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49034+16581.84+22502.55+218.75</f>
        <v>88337.14</v>
      </c>
      <c r="G202" s="18">
        <f>23993.73+415.17+69.49+4021.61+8687.1+83.66+6579.55+157.16+12.13+1206.77+2598.42+28.29+15318.48+366.03+17.14+1414.95+2513.55+38.39+16.75+23.56</f>
        <v>67561.929999999993</v>
      </c>
      <c r="H202" s="18">
        <f>1505+506.34+158.7+1562.5+53.44+21645.35+39293+1578.04+39575.71+647.5+350</f>
        <v>106875.57999999999</v>
      </c>
      <c r="I202" s="18">
        <f>42.37+225.9+388.83+129.97+292.36+49.97+37.45</f>
        <v>1166.8499999999999</v>
      </c>
      <c r="J202" s="18"/>
      <c r="K202" s="18">
        <f>194</f>
        <v>194</v>
      </c>
      <c r="L202" s="19">
        <f t="shared" ref="L202:L208" si="0">SUM(F202:K202)</f>
        <v>264135.5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2000+21623.64</f>
        <v>23623.64</v>
      </c>
      <c r="G203" s="18">
        <f>142.88+313.4+3000.52+4764+2252+5208.26+124.51+28.8+1559.3+3375.99+36.89</f>
        <v>20806.549999999996</v>
      </c>
      <c r="H203" s="18">
        <f>5561+50</f>
        <v>5611</v>
      </c>
      <c r="I203" s="18">
        <f>147.66+179.13+2589.59+987.89+748.6+237.79+300.57</f>
        <v>5191.2299999999996</v>
      </c>
      <c r="J203" s="18">
        <f>148.46</f>
        <v>148.46</v>
      </c>
      <c r="K203" s="18"/>
      <c r="L203" s="19">
        <f t="shared" si="0"/>
        <v>55380.88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2541.5+270.9+1634+481.6+129214.97</f>
        <v>134142.97</v>
      </c>
      <c r="G204" s="18">
        <f>194.45+18.16+30+125.04+36.09+12.01+33150.52+778.07+387.73+9181.6+7038.4+4406.01+220.47+1651.76</f>
        <v>57230.310000000005</v>
      </c>
      <c r="H204" s="18">
        <f>1407.39+250.15+394.15+3655+4576.49+6602.36+543.35+4902+916.57+368.52+4353.83+101.53+1801.38+4.22</f>
        <v>29876.94</v>
      </c>
      <c r="I204" s="18">
        <f>55.02+409.99+1477.29+676.05+562.13+36.52+160.9</f>
        <v>3377.9</v>
      </c>
      <c r="J204" s="18"/>
      <c r="K204" s="18">
        <f>1383.95+206.18+1190.55+578.26+42</f>
        <v>3400.9400000000005</v>
      </c>
      <c r="L204" s="19">
        <f t="shared" si="0"/>
        <v>228029.06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93381.68</f>
        <v>93381.68</v>
      </c>
      <c r="G205" s="18">
        <f>15318.48+659.01+289.53+6888.26+2546.75+10868.62+159.33+568.74</f>
        <v>37298.720000000001</v>
      </c>
      <c r="H205" s="18">
        <f>180.6+3144.49+1136.4+1021.32+1317.47+119.68</f>
        <v>6919.96</v>
      </c>
      <c r="I205" s="18">
        <f>1340</f>
        <v>1340</v>
      </c>
      <c r="J205" s="18">
        <f>2356.36</f>
        <v>2356.36</v>
      </c>
      <c r="K205" s="18">
        <f>2353.4+213.45</f>
        <v>2566.85</v>
      </c>
      <c r="L205" s="19">
        <f t="shared" si="0"/>
        <v>143863.56999999998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43018.79</f>
        <v>43018.79</v>
      </c>
      <c r="G207" s="18">
        <f>13551.14+24.64+3078.67+4669.74+73.4</f>
        <v>21397.589999999997</v>
      </c>
      <c r="H207" s="18">
        <f>2231.12+2572.3+936.05+7071.47+3058.52+626+142.71+231.86</f>
        <v>16870.03</v>
      </c>
      <c r="I207" s="18">
        <f>13921.59+25954.85+16319.84+734.22+320.83</f>
        <v>57251.33</v>
      </c>
      <c r="J207" s="18">
        <f>963.18</f>
        <v>963.18</v>
      </c>
      <c r="K207" s="18">
        <f>7707.57</f>
        <v>7707.57</v>
      </c>
      <c r="L207" s="19">
        <f t="shared" si="0"/>
        <v>147208.49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7455.54+1975</f>
        <v>9430.5400000000009</v>
      </c>
      <c r="G208" s="18">
        <f>2392.9+47.3+28.01+531.53+582.66+12.72+151.1+3.37</f>
        <v>3749.59</v>
      </c>
      <c r="H208" s="18">
        <f>5093.7+33576.55+2903.53+1334.5+350+450+900+84+450</f>
        <v>45142.28</v>
      </c>
      <c r="I208" s="18">
        <f>8+6124.72</f>
        <v>6132.72</v>
      </c>
      <c r="J208" s="18"/>
      <c r="K208" s="18"/>
      <c r="L208" s="19">
        <f t="shared" si="0"/>
        <v>64455.130000000005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f>183.18</f>
        <v>183.18</v>
      </c>
      <c r="I209" s="18"/>
      <c r="J209" s="18"/>
      <c r="K209" s="18"/>
      <c r="L209" s="19">
        <f>SUM(F209:K209)</f>
        <v>183.18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1469207.8099999998</v>
      </c>
      <c r="G211" s="41">
        <f t="shared" si="1"/>
        <v>763902.82000000007</v>
      </c>
      <c r="H211" s="41">
        <f t="shared" si="1"/>
        <v>284760.78999999998</v>
      </c>
      <c r="I211" s="41">
        <f t="shared" si="1"/>
        <v>111074.1</v>
      </c>
      <c r="J211" s="41">
        <f t="shared" si="1"/>
        <v>10783.26</v>
      </c>
      <c r="K211" s="41">
        <f t="shared" si="1"/>
        <v>16048.76</v>
      </c>
      <c r="L211" s="41">
        <f t="shared" si="1"/>
        <v>2655777.5399999996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445256.28+6782.5</f>
        <v>452038.78</v>
      </c>
      <c r="G215" s="18">
        <f>124525.64+3527.21+483.8+154.33+35229.98+167.57+75600.51+759.69</f>
        <v>240448.73000000004</v>
      </c>
      <c r="H215" s="18">
        <f>5113.35+2329.95+3403.25</f>
        <v>10846.55</v>
      </c>
      <c r="I215" s="18">
        <f>4845.44+939.53+3435.77+385.78+2410.34+753.2</f>
        <v>12770.060000000001</v>
      </c>
      <c r="J215" s="18">
        <f>662.88+238.86+1756</f>
        <v>2657.74</v>
      </c>
      <c r="K215" s="18">
        <f>1828.75</f>
        <v>1828.75</v>
      </c>
      <c r="L215" s="19">
        <f>SUM(F215:K215)</f>
        <v>720590.6100000001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79442.69+675+875</f>
        <v>80992.69</v>
      </c>
      <c r="G216" s="18">
        <f>25182.75+415.17+88.28+6275.59+2172.21+10752.33+135.54+63.37+123.9+1.49</f>
        <v>45210.630000000005</v>
      </c>
      <c r="H216" s="18">
        <f>3220+924.97+105.67+54771.07+73127.04+162.04</f>
        <v>132310.79</v>
      </c>
      <c r="I216" s="18">
        <f>175.7+288.76</f>
        <v>464.46</v>
      </c>
      <c r="J216" s="18">
        <f>29.99</f>
        <v>29.99</v>
      </c>
      <c r="K216" s="18"/>
      <c r="L216" s="19">
        <f>SUM(F216:K216)</f>
        <v>259008.56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10642+2593.75</f>
        <v>13235.75</v>
      </c>
      <c r="G218" s="18">
        <f>876.83+696.01+19.25+198.42+226.56</f>
        <v>2017.0700000000002</v>
      </c>
      <c r="H218" s="18">
        <f>2802</f>
        <v>2802</v>
      </c>
      <c r="I218" s="18">
        <f>573.31</f>
        <v>573.30999999999995</v>
      </c>
      <c r="J218" s="18"/>
      <c r="K218" s="18">
        <f>730</f>
        <v>730</v>
      </c>
      <c r="L218" s="19">
        <f>SUM(F218:K218)</f>
        <v>19358.13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32411.53+8809.93</f>
        <v>41221.46</v>
      </c>
      <c r="G220" s="18">
        <f>6893.29+164.81+6.9+2353.05+1684.54+2689.3+55.3+3496.74+83.56+641.07+1380.58+15.03</f>
        <v>19464.169999999998</v>
      </c>
      <c r="H220" s="18">
        <f>805+270.84+1125+31.84+25160+1136.03</f>
        <v>28528.71</v>
      </c>
      <c r="I220" s="18">
        <f>0+157.7+69.52</f>
        <v>227.21999999999997</v>
      </c>
      <c r="J220" s="18"/>
      <c r="K220" s="18">
        <v>0</v>
      </c>
      <c r="L220" s="19">
        <f t="shared" ref="L220:L226" si="2">SUM(F220:K220)</f>
        <v>89441.56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14627.82</f>
        <v>14627.82</v>
      </c>
      <c r="G221" s="18">
        <f>1602.47+231+3523.22+84.22+15.72+1054.69+2283.67+24.96</f>
        <v>8819.9499999999989</v>
      </c>
      <c r="H221" s="18">
        <f>2146.02+50</f>
        <v>2196.02</v>
      </c>
      <c r="I221" s="18">
        <f>106.72+146.91+1596.91+344.73+186.5+1184.91+160.77</f>
        <v>3727.4500000000003</v>
      </c>
      <c r="J221" s="18"/>
      <c r="K221" s="18"/>
      <c r="L221" s="19">
        <f t="shared" si="2"/>
        <v>29371.239999999998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1534.5+144.9+874+257.6+69617.04</f>
        <v>72428.039999999994</v>
      </c>
      <c r="G222" s="18">
        <f>117.39+9.7+16.09+66.88+19.29+6.42+17854.22+425.75+216.91+4943.11+3820.07+2356.65+118.78+901.6</f>
        <v>30872.86</v>
      </c>
      <c r="H222" s="18">
        <f>752.79+133.8+210.83+1955+2447.89+6709.86+290.63+2622+490.25+335.6+2328.8+67.27+963.51+2.21</f>
        <v>19310.439999999995</v>
      </c>
      <c r="I222" s="18">
        <f>26.08+231.35+845.68+361.61+300.67+19.54+84.11</f>
        <v>1869.0399999999997</v>
      </c>
      <c r="J222" s="18"/>
      <c r="K222" s="18">
        <f>740.25+156.79+559.51+430.24</f>
        <v>1886.79</v>
      </c>
      <c r="L222" s="19">
        <f t="shared" si="2"/>
        <v>126367.16999999998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67055.95</f>
        <v>67055.95</v>
      </c>
      <c r="G223" s="18">
        <f>14488.51+382.94+89.01+4674.44+1291.91+8521.54+114.41</f>
        <v>29562.760000000002</v>
      </c>
      <c r="H223" s="18">
        <f>96.6+1681.97+283.55+562.44+562.49+62.56</f>
        <v>3249.61</v>
      </c>
      <c r="I223" s="18">
        <f>810+8.57</f>
        <v>818.57</v>
      </c>
      <c r="J223" s="18">
        <f>1260.38</f>
        <v>1260.3800000000001</v>
      </c>
      <c r="K223" s="18">
        <f>1563.4+84.76</f>
        <v>1648.16</v>
      </c>
      <c r="L223" s="19">
        <f t="shared" si="2"/>
        <v>103595.43000000001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66571.83</f>
        <v>66571.83</v>
      </c>
      <c r="G225" s="18">
        <f>22977.72+366.03+21.07+4831.75+7325.54+113.58</f>
        <v>35635.69</v>
      </c>
      <c r="H225" s="18">
        <f>6025.49+1234.72+496.25+2070+1661.36+379.41+76.35+41.11</f>
        <v>11984.69</v>
      </c>
      <c r="I225" s="18">
        <f>8360.74+22874.3+19847.11+909.08+190.07</f>
        <v>52181.3</v>
      </c>
      <c r="J225" s="18">
        <f>515.19</f>
        <v>515.19000000000005</v>
      </c>
      <c r="K225" s="18">
        <f>4294.69</f>
        <v>4294.6899999999996</v>
      </c>
      <c r="L225" s="19">
        <f t="shared" si="2"/>
        <v>171183.39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3260.11+4839.26</f>
        <v>8099.3700000000008</v>
      </c>
      <c r="G226" s="18">
        <f>2244.13+40.27+224.56+190.94+5.56+3464.25+82.78+335.54+540.55+8.26</f>
        <v>7136.84</v>
      </c>
      <c r="H226" s="18">
        <f>17959.55+7702.45+10742.5</f>
        <v>36404.5</v>
      </c>
      <c r="I226" s="18"/>
      <c r="J226" s="18"/>
      <c r="K226" s="18"/>
      <c r="L226" s="19">
        <f t="shared" si="2"/>
        <v>51640.71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>
        <v>97.98</v>
      </c>
      <c r="I227" s="18"/>
      <c r="J227" s="18"/>
      <c r="K227" s="18"/>
      <c r="L227" s="19">
        <f>SUM(F227:K227)</f>
        <v>97.98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816271.68999999983</v>
      </c>
      <c r="G229" s="41">
        <f>SUM(G215:G228)</f>
        <v>419168.70000000007</v>
      </c>
      <c r="H229" s="41">
        <f>SUM(H215:H228)</f>
        <v>247731.28999999998</v>
      </c>
      <c r="I229" s="41">
        <f>SUM(I215:I228)</f>
        <v>72631.41</v>
      </c>
      <c r="J229" s="41">
        <f>SUM(J215:J228)</f>
        <v>4463.2999999999993</v>
      </c>
      <c r="K229" s="41">
        <f t="shared" si="3"/>
        <v>10388.39</v>
      </c>
      <c r="L229" s="41">
        <f t="shared" si="3"/>
        <v>1570654.7799999998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692110.89+18317.5</f>
        <v>710428.39</v>
      </c>
      <c r="G233" s="18">
        <f>212146.46+4167.3+983.44+228.14+55029.83+72.62+114980.75+1180.88</f>
        <v>388789.42</v>
      </c>
      <c r="H233" s="18">
        <f>8264.45+3844.4+5030.89+17026.8+470+1585.32+364</f>
        <v>36585.86</v>
      </c>
      <c r="I233" s="18">
        <f>5595.1+6007.54+2200+5070.2+29.95+3977.06+800.22</f>
        <v>23680.070000000003</v>
      </c>
      <c r="J233" s="18">
        <f>5545.01+541+89.99+12647.95+5580.67+160.26</f>
        <v>24564.880000000001</v>
      </c>
      <c r="K233" s="18">
        <f>3617.9</f>
        <v>3617.9</v>
      </c>
      <c r="L233" s="19">
        <f>SUM(F233:K233)</f>
        <v>1187666.52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81447.34+712.5+287.5</f>
        <v>82447.34</v>
      </c>
      <c r="G234" s="18">
        <f>13080.74+732.06+154.26+6657.91+2270.51+7664.82+138.97+22+40.71+0.49</f>
        <v>30762.470000000005</v>
      </c>
      <c r="H234" s="18">
        <f>4760+1350.94+154.63+92159.95+62002.42+301.24+4219.93+6645.73-53937.22+239.54</f>
        <v>117897.15999999999</v>
      </c>
      <c r="I234" s="18">
        <f>169.95+219.93</f>
        <v>389.88</v>
      </c>
      <c r="J234" s="18"/>
      <c r="K234" s="18"/>
      <c r="L234" s="19">
        <f>SUM(F234:K234)</f>
        <v>231496.84999999998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f>29078</f>
        <v>29078</v>
      </c>
      <c r="I235" s="18"/>
      <c r="J235" s="18"/>
      <c r="K235" s="18"/>
      <c r="L235" s="19">
        <f>SUM(F235:K235)</f>
        <v>29078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43864.98+3998</f>
        <v>47862.98</v>
      </c>
      <c r="G236" s="18">
        <f>3369.9+573.39+2802.06+74.84+200+296.56+566.12</f>
        <v>7882.8700000000008</v>
      </c>
      <c r="H236" s="18">
        <f>216+11892</f>
        <v>12108</v>
      </c>
      <c r="I236" s="18">
        <f>14367.59+1256.34+618.84</f>
        <v>16242.77</v>
      </c>
      <c r="J236" s="18"/>
      <c r="K236" s="18">
        <f>5141.25</f>
        <v>5141.25</v>
      </c>
      <c r="L236" s="19">
        <f>SUM(F236:K236)</f>
        <v>89237.87000000001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44399.07+13212.83</f>
        <v>57611.9</v>
      </c>
      <c r="G238" s="18">
        <f>10925.19+201.22+78.8+3433.17+2058.93+4033.96+75.75+5242.19+125.31+961.64+2070.37+22.54</f>
        <v>29229.069999999996</v>
      </c>
      <c r="H238" s="18">
        <f>23000+5731.72+334.13+400.35+601.9+145.32+1500+43.72+16296.65+6380.89+367.5</f>
        <v>54802.18</v>
      </c>
      <c r="I238" s="18">
        <f>312.08+645+285.71+102.76+14.99</f>
        <v>1360.54</v>
      </c>
      <c r="J238" s="18">
        <f>346.5</f>
        <v>346.5</v>
      </c>
      <c r="K238" s="18">
        <v>0</v>
      </c>
      <c r="L238" s="19">
        <f t="shared" ref="L238:L244" si="4">SUM(F238:K238)</f>
        <v>143350.19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3500+39299.04</f>
        <v>42799.040000000001</v>
      </c>
      <c r="G239" s="18">
        <f>252.33+55.85+470.08+2934.97+8313+1566+19760.89+157.3+23.94+2148.72+4269.43+67.05</f>
        <v>40019.560000000005</v>
      </c>
      <c r="H239" s="18">
        <f>2537.39+783.59+102.93</f>
        <v>3423.91</v>
      </c>
      <c r="I239" s="18">
        <f>166.45+144.15+2357.17+506.84+240.83+1457.63+237.66</f>
        <v>5110.7299999999996</v>
      </c>
      <c r="J239" s="18"/>
      <c r="K239" s="18">
        <f>160</f>
        <v>160</v>
      </c>
      <c r="L239" s="19">
        <f t="shared" si="4"/>
        <v>91513.24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1974+214.2+1292+380.8+102741.67</f>
        <v>106602.67</v>
      </c>
      <c r="G240" s="18">
        <f>151+14.4+23.72+98.8+28.6+9.49+26359.56+626.33+316.29+7296.16+5628+3483.93+175.3+1482.68</f>
        <v>45694.260000000009</v>
      </c>
      <c r="H240" s="18">
        <f>1112.82+197.8+311.66+2890+3618.62+8323.26+429.62+3876+724.73+357.44+3442.51+41.45+1424.31+3.17</f>
        <v>26753.39</v>
      </c>
      <c r="I240" s="18">
        <f>37.72+321.91+1226.95+534.57+444.46+28.88+120.65</f>
        <v>2715.1400000000003</v>
      </c>
      <c r="J240" s="18"/>
      <c r="K240" s="18">
        <f>1094.29+183.96+901.53+507.36</f>
        <v>2687.14</v>
      </c>
      <c r="L240" s="19">
        <f t="shared" si="4"/>
        <v>184452.60000000003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69888</f>
        <v>69888</v>
      </c>
      <c r="G241" s="18">
        <f>16148.45+422.17+140.68+4811.32+1605.69+8521.56+119.24+199</f>
        <v>31968.109999999997</v>
      </c>
      <c r="H241" s="18">
        <f>142.8+2486.35+418.1+844.87+939.02+506.21+89.76</f>
        <v>5427.11</v>
      </c>
      <c r="I241" s="18">
        <f>2455.74+28.68+1165.39+82.23</f>
        <v>3732.0399999999995</v>
      </c>
      <c r="J241" s="18">
        <f>346.49+1863.17</f>
        <v>2209.66</v>
      </c>
      <c r="K241" s="18">
        <f>1871.2+145.29</f>
        <v>2016.49</v>
      </c>
      <c r="L241" s="19">
        <f t="shared" si="4"/>
        <v>115241.41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25728+643.89</f>
        <v>26371.89</v>
      </c>
      <c r="G243" s="18">
        <f>22.85+2014.74+2352.22+45</f>
        <v>4434.8099999999995</v>
      </c>
      <c r="H243" s="18">
        <f>7530.07+5384.05+937+5382+3330.26+562.41+112.84+185.78</f>
        <v>23424.409999999996</v>
      </c>
      <c r="I243" s="18">
        <f>13670.83+30303.96+24968.41+1404.56+235.24</f>
        <v>70583</v>
      </c>
      <c r="J243" s="18">
        <f>761.58</f>
        <v>761.58</v>
      </c>
      <c r="K243" s="18">
        <f>5782.83</f>
        <v>5782.83</v>
      </c>
      <c r="L243" s="19">
        <f t="shared" si="4"/>
        <v>131358.51999999999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9376.53+21993.34+524.52</f>
        <v>31894.390000000003</v>
      </c>
      <c r="G244" s="18">
        <f>3188.37+76.17+684.68+497.17+16+14970.73+328.67+1526.51+1923.54+37.55+38.39+21.52</f>
        <v>23309.299999999996</v>
      </c>
      <c r="H244" s="18">
        <f>26548.9+5317.95+3594.54+7885.01+15575.9+3342.49</f>
        <v>62264.79</v>
      </c>
      <c r="I244" s="18">
        <f>3344.97+329.99+9317.44</f>
        <v>12992.400000000001</v>
      </c>
      <c r="J244" s="18">
        <f>8392.27</f>
        <v>8392.27</v>
      </c>
      <c r="K244" s="18"/>
      <c r="L244" s="19">
        <f t="shared" si="4"/>
        <v>138853.15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f>144.84</f>
        <v>144.84</v>
      </c>
      <c r="I245" s="18"/>
      <c r="J245" s="18"/>
      <c r="K245" s="18"/>
      <c r="L245" s="19">
        <f>SUM(F245:K245)</f>
        <v>144.84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1175906.5999999999</v>
      </c>
      <c r="G247" s="41">
        <f t="shared" si="5"/>
        <v>602089.87000000011</v>
      </c>
      <c r="H247" s="41">
        <f t="shared" si="5"/>
        <v>371909.64999999997</v>
      </c>
      <c r="I247" s="41">
        <f t="shared" si="5"/>
        <v>136806.57</v>
      </c>
      <c r="J247" s="41">
        <f t="shared" si="5"/>
        <v>36274.89</v>
      </c>
      <c r="K247" s="41">
        <f t="shared" si="5"/>
        <v>19405.61</v>
      </c>
      <c r="L247" s="41">
        <f t="shared" si="5"/>
        <v>2342393.19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3461386.0999999996</v>
      </c>
      <c r="G257" s="41">
        <f t="shared" si="8"/>
        <v>1785161.3900000001</v>
      </c>
      <c r="H257" s="41">
        <f t="shared" si="8"/>
        <v>904401.73</v>
      </c>
      <c r="I257" s="41">
        <f t="shared" si="8"/>
        <v>320512.08</v>
      </c>
      <c r="J257" s="41">
        <f t="shared" si="8"/>
        <v>51521.45</v>
      </c>
      <c r="K257" s="41">
        <f t="shared" si="8"/>
        <v>45842.76</v>
      </c>
      <c r="L257" s="41">
        <f t="shared" si="8"/>
        <v>6568825.5099999998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1254.3900000000001</v>
      </c>
      <c r="L260" s="19">
        <f>SUM(F260:K260)</f>
        <v>1254.3900000000001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22.07</v>
      </c>
      <c r="L261" s="19">
        <f>SUM(F261:K261)</f>
        <v>22.07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15185.74</f>
        <v>15185.74</v>
      </c>
      <c r="L263" s="19">
        <f>SUM(F263:K263)</f>
        <v>15185.74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100000</v>
      </c>
      <c r="L266" s="19">
        <f t="shared" si="9"/>
        <v>100000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f>53937.22</f>
        <v>53937.22</v>
      </c>
      <c r="L268" s="19">
        <f t="shared" si="9"/>
        <v>53937.22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170399.41999999998</v>
      </c>
      <c r="L270" s="41">
        <f t="shared" si="9"/>
        <v>170399.41999999998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3461386.0999999996</v>
      </c>
      <c r="G271" s="42">
        <f t="shared" si="11"/>
        <v>1785161.3900000001</v>
      </c>
      <c r="H271" s="42">
        <f t="shared" si="11"/>
        <v>904401.73</v>
      </c>
      <c r="I271" s="42">
        <f t="shared" si="11"/>
        <v>320512.08</v>
      </c>
      <c r="J271" s="42">
        <f t="shared" si="11"/>
        <v>51521.45</v>
      </c>
      <c r="K271" s="42">
        <f t="shared" si="11"/>
        <v>216242.18</v>
      </c>
      <c r="L271" s="42">
        <f t="shared" si="11"/>
        <v>6739224.9299999997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66172.87</v>
      </c>
      <c r="G276" s="18">
        <f>7659.24+366.03+4933.18+1922.8+7085.4</f>
        <v>21966.65</v>
      </c>
      <c r="H276" s="18"/>
      <c r="I276" s="18">
        <f>5315.03+722.5+6331.94</f>
        <v>12369.47</v>
      </c>
      <c r="J276" s="18">
        <f>1645.56</f>
        <v>1645.56</v>
      </c>
      <c r="K276" s="18"/>
      <c r="L276" s="19">
        <f>SUM(F276:K276)</f>
        <v>102154.54999999999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475.86</f>
        <v>475.86</v>
      </c>
      <c r="G277" s="18">
        <f>30.81</f>
        <v>30.81</v>
      </c>
      <c r="H277" s="18">
        <f>46330+9660</f>
        <v>55990</v>
      </c>
      <c r="I277" s="18">
        <f>304.28</f>
        <v>304.27999999999997</v>
      </c>
      <c r="J277" s="18"/>
      <c r="K277" s="18">
        <f>100</f>
        <v>100</v>
      </c>
      <c r="L277" s="19">
        <f>SUM(F277:K277)</f>
        <v>56900.95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1050</f>
        <v>1050</v>
      </c>
      <c r="G281" s="18">
        <f>80.32</f>
        <v>80.319999999999993</v>
      </c>
      <c r="H281" s="18">
        <f>4875+57.94+14062.1+1400</f>
        <v>20395.04</v>
      </c>
      <c r="I281" s="18"/>
      <c r="J281" s="18"/>
      <c r="K281" s="18"/>
      <c r="L281" s="19">
        <f t="shared" ref="L281:L287" si="12">SUM(F281:K281)</f>
        <v>21525.360000000001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>
        <f>252.26+50+3363.22+3632.41+600</f>
        <v>7897.8899999999994</v>
      </c>
      <c r="I282" s="18">
        <f>416.8</f>
        <v>416.8</v>
      </c>
      <c r="J282" s="18"/>
      <c r="K282" s="18"/>
      <c r="L282" s="19">
        <f t="shared" si="12"/>
        <v>8314.6899999999987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>
        <f>1026.84</f>
        <v>1026.8399999999999</v>
      </c>
      <c r="I288" s="18"/>
      <c r="J288" s="18"/>
      <c r="K288" s="18"/>
      <c r="L288" s="19">
        <f>SUM(F288:K288)</f>
        <v>1026.8399999999999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67698.73</v>
      </c>
      <c r="G290" s="42">
        <f t="shared" si="13"/>
        <v>22077.780000000002</v>
      </c>
      <c r="H290" s="42">
        <f t="shared" si="13"/>
        <v>85309.77</v>
      </c>
      <c r="I290" s="42">
        <f t="shared" si="13"/>
        <v>13090.55</v>
      </c>
      <c r="J290" s="42">
        <f t="shared" si="13"/>
        <v>1645.56</v>
      </c>
      <c r="K290" s="42">
        <f t="shared" si="13"/>
        <v>100</v>
      </c>
      <c r="L290" s="41">
        <f t="shared" si="13"/>
        <v>189922.38999999998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>
        <f>750</f>
        <v>750</v>
      </c>
      <c r="L295" s="19">
        <f>SUM(F295:K295)</f>
        <v>750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>
        <f>5937.9+1100.3</f>
        <v>7038.2</v>
      </c>
      <c r="I300" s="18"/>
      <c r="J300" s="18"/>
      <c r="K300" s="18"/>
      <c r="L300" s="19">
        <f t="shared" ref="L300:L306" si="14">SUM(F300:K300)</f>
        <v>7038.2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>
        <f>134.93+50</f>
        <v>184.93</v>
      </c>
      <c r="I301" s="18">
        <f>350.1</f>
        <v>350.1</v>
      </c>
      <c r="J301" s="18"/>
      <c r="K301" s="18"/>
      <c r="L301" s="19">
        <f t="shared" si="14"/>
        <v>535.03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>
        <f>549.24</f>
        <v>549.24</v>
      </c>
      <c r="I307" s="18"/>
      <c r="J307" s="18"/>
      <c r="K307" s="18"/>
      <c r="L307" s="19">
        <f>SUM(F307:K307)</f>
        <v>549.24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7772.37</v>
      </c>
      <c r="I309" s="42">
        <f t="shared" si="15"/>
        <v>350.1</v>
      </c>
      <c r="J309" s="42">
        <f t="shared" si="15"/>
        <v>0</v>
      </c>
      <c r="K309" s="42">
        <f t="shared" si="15"/>
        <v>750</v>
      </c>
      <c r="L309" s="41">
        <f t="shared" si="15"/>
        <v>8872.4699999999993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>
        <f>2175</f>
        <v>2175</v>
      </c>
      <c r="L314" s="19">
        <f>SUM(F314:K314)</f>
        <v>2175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1500</f>
        <v>1500</v>
      </c>
      <c r="G315" s="18"/>
      <c r="H315" s="18">
        <f>2257.5</f>
        <v>2257.5</v>
      </c>
      <c r="I315" s="18">
        <f>428.44+956.55</f>
        <v>1384.99</v>
      </c>
      <c r="J315" s="18">
        <f>949</f>
        <v>949</v>
      </c>
      <c r="K315" s="18"/>
      <c r="L315" s="19">
        <f>SUM(F315:K315)</f>
        <v>6091.49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>
        <f>1650.46</f>
        <v>1650.46</v>
      </c>
      <c r="I319" s="18"/>
      <c r="J319" s="18"/>
      <c r="K319" s="18"/>
      <c r="L319" s="19">
        <f t="shared" ref="L319:L325" si="16">SUM(F319:K319)</f>
        <v>1650.46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3600</v>
      </c>
      <c r="G320" s="18"/>
      <c r="H320" s="18">
        <f>199.45+50</f>
        <v>249.45</v>
      </c>
      <c r="I320" s="18">
        <f>387.2</f>
        <v>387.2</v>
      </c>
      <c r="J320" s="18"/>
      <c r="K320" s="18"/>
      <c r="L320" s="19">
        <f t="shared" si="16"/>
        <v>4236.6499999999996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>
        <f>811.92</f>
        <v>811.92</v>
      </c>
      <c r="I326" s="18"/>
      <c r="J326" s="18"/>
      <c r="K326" s="18"/>
      <c r="L326" s="19">
        <f>SUM(F326:K326)</f>
        <v>811.92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5100</v>
      </c>
      <c r="G328" s="42">
        <f t="shared" si="17"/>
        <v>0</v>
      </c>
      <c r="H328" s="42">
        <f t="shared" si="17"/>
        <v>4969.33</v>
      </c>
      <c r="I328" s="42">
        <f t="shared" si="17"/>
        <v>1772.19</v>
      </c>
      <c r="J328" s="42">
        <f t="shared" si="17"/>
        <v>949</v>
      </c>
      <c r="K328" s="42">
        <f t="shared" si="17"/>
        <v>2175</v>
      </c>
      <c r="L328" s="41">
        <f t="shared" si="17"/>
        <v>14965.52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72798.73</v>
      </c>
      <c r="G338" s="41">
        <f t="shared" si="20"/>
        <v>22077.780000000002</v>
      </c>
      <c r="H338" s="41">
        <f t="shared" si="20"/>
        <v>98051.47</v>
      </c>
      <c r="I338" s="41">
        <f t="shared" si="20"/>
        <v>15212.84</v>
      </c>
      <c r="J338" s="41">
        <f t="shared" si="20"/>
        <v>2594.56</v>
      </c>
      <c r="K338" s="41">
        <f t="shared" si="20"/>
        <v>3025</v>
      </c>
      <c r="L338" s="41">
        <f t="shared" si="20"/>
        <v>213760.37999999998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72798.73</v>
      </c>
      <c r="G352" s="41">
        <f>G338</f>
        <v>22077.780000000002</v>
      </c>
      <c r="H352" s="41">
        <f>H338</f>
        <v>98051.47</v>
      </c>
      <c r="I352" s="41">
        <f>I338</f>
        <v>15212.84</v>
      </c>
      <c r="J352" s="41">
        <f>J338</f>
        <v>2594.56</v>
      </c>
      <c r="K352" s="47">
        <f>K338+K351</f>
        <v>3025</v>
      </c>
      <c r="L352" s="41">
        <f>L338+L351</f>
        <v>213760.37999999998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f>2075.4+68019.59</f>
        <v>70094.989999999991</v>
      </c>
      <c r="I358" s="18">
        <f>692.12</f>
        <v>692.12</v>
      </c>
      <c r="J358" s="18"/>
      <c r="K358" s="18">
        <v>-6331.94</v>
      </c>
      <c r="L358" s="13">
        <f>SUM(F358:K358)</f>
        <v>64455.169999999984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>
        <f>1114.75+36382.58</f>
        <v>37497.33</v>
      </c>
      <c r="I359" s="18">
        <f>370.22</f>
        <v>370.22</v>
      </c>
      <c r="J359" s="18"/>
      <c r="K359" s="18"/>
      <c r="L359" s="19">
        <f>SUM(F359:K359)</f>
        <v>37867.550000000003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>
        <f>1643.1+53782.83</f>
        <v>55425.93</v>
      </c>
      <c r="I360" s="18">
        <v>547.25</v>
      </c>
      <c r="J360" s="18"/>
      <c r="K360" s="18"/>
      <c r="L360" s="19">
        <f>SUM(F360:K360)</f>
        <v>55973.18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163018.25</v>
      </c>
      <c r="I362" s="47">
        <f t="shared" si="22"/>
        <v>1609.5900000000001</v>
      </c>
      <c r="J362" s="47">
        <f t="shared" si="22"/>
        <v>0</v>
      </c>
      <c r="K362" s="47">
        <f t="shared" si="22"/>
        <v>-6331.94</v>
      </c>
      <c r="L362" s="47">
        <f t="shared" si="22"/>
        <v>158295.9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692.12</v>
      </c>
      <c r="G368" s="63">
        <v>370.22</v>
      </c>
      <c r="H368" s="63">
        <v>547.25</v>
      </c>
      <c r="I368" s="56">
        <f>SUM(F368:H368)</f>
        <v>1609.5900000000001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692.12</v>
      </c>
      <c r="G369" s="47">
        <f>SUM(G367:G368)</f>
        <v>370.22</v>
      </c>
      <c r="H369" s="47">
        <f>SUM(H367:H368)</f>
        <v>547.25</v>
      </c>
      <c r="I369" s="47">
        <f>SUM(I367:I368)</f>
        <v>1609.5900000000001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114001.65</v>
      </c>
      <c r="I379" s="18"/>
      <c r="J379" s="18"/>
      <c r="K379" s="18"/>
      <c r="L379" s="13">
        <f t="shared" si="23"/>
        <v>114001.65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114001.65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114001.65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f>65000</f>
        <v>65000</v>
      </c>
      <c r="H396" s="18">
        <f>282.41</f>
        <v>282.41000000000003</v>
      </c>
      <c r="I396" s="18"/>
      <c r="J396" s="24" t="s">
        <v>289</v>
      </c>
      <c r="K396" s="24" t="s">
        <v>289</v>
      </c>
      <c r="L396" s="56">
        <f t="shared" si="26"/>
        <v>65282.41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f>10000</f>
        <v>10000</v>
      </c>
      <c r="H397" s="18">
        <f>206.06</f>
        <v>206.06</v>
      </c>
      <c r="I397" s="18"/>
      <c r="J397" s="24" t="s">
        <v>289</v>
      </c>
      <c r="K397" s="24" t="s">
        <v>289</v>
      </c>
      <c r="L397" s="56">
        <f t="shared" si="26"/>
        <v>10206.06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f>10000</f>
        <v>10000</v>
      </c>
      <c r="H399" s="18">
        <f>30.08</f>
        <v>30.08</v>
      </c>
      <c r="I399" s="18"/>
      <c r="J399" s="24" t="s">
        <v>289</v>
      </c>
      <c r="K399" s="24" t="s">
        <v>289</v>
      </c>
      <c r="L399" s="56">
        <f t="shared" si="26"/>
        <v>10030.08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f>5000+10000</f>
        <v>15000</v>
      </c>
      <c r="H400" s="18">
        <f>24.96+40.14+64.27+11.48</f>
        <v>140.85</v>
      </c>
      <c r="I400" s="18"/>
      <c r="J400" s="24" t="s">
        <v>289</v>
      </c>
      <c r="K400" s="24" t="s">
        <v>289</v>
      </c>
      <c r="L400" s="56">
        <f t="shared" si="26"/>
        <v>15140.85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659.40000000000009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100659.40000000001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659.40000000000009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100659.40000000001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37074.089999999997</v>
      </c>
      <c r="I422" s="18"/>
      <c r="J422" s="18"/>
      <c r="K422" s="18"/>
      <c r="L422" s="56">
        <f t="shared" si="29"/>
        <v>37074.089999999997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>
        <v>3680</v>
      </c>
      <c r="K425" s="18"/>
      <c r="L425" s="56">
        <f t="shared" si="29"/>
        <v>3680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>
        <f>4000+6000</f>
        <v>10000</v>
      </c>
      <c r="K426" s="18">
        <v>500</v>
      </c>
      <c r="L426" s="56">
        <f t="shared" si="29"/>
        <v>10500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37074.089999999997</v>
      </c>
      <c r="I427" s="47">
        <f t="shared" si="30"/>
        <v>0</v>
      </c>
      <c r="J427" s="47">
        <f t="shared" si="30"/>
        <v>13680</v>
      </c>
      <c r="K427" s="47">
        <f t="shared" si="30"/>
        <v>500</v>
      </c>
      <c r="L427" s="47">
        <f t="shared" si="30"/>
        <v>51254.09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37074.089999999997</v>
      </c>
      <c r="I434" s="47">
        <f t="shared" si="32"/>
        <v>0</v>
      </c>
      <c r="J434" s="47">
        <f t="shared" si="32"/>
        <v>13680</v>
      </c>
      <c r="K434" s="47">
        <f t="shared" si="32"/>
        <v>500</v>
      </c>
      <c r="L434" s="47">
        <f t="shared" si="32"/>
        <v>51254.09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368566.49</v>
      </c>
      <c r="H439" s="18"/>
      <c r="I439" s="56">
        <f t="shared" ref="I439:I445" si="33">SUM(F439:H439)</f>
        <v>368566.49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368566.49</v>
      </c>
      <c r="H446" s="13">
        <f>SUM(H439:H445)</f>
        <v>0</v>
      </c>
      <c r="I446" s="13">
        <f>SUM(I439:I445)</f>
        <v>368566.49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368566.49</v>
      </c>
      <c r="H459" s="18"/>
      <c r="I459" s="56">
        <f t="shared" si="34"/>
        <v>368566.49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368566.49</v>
      </c>
      <c r="H460" s="83">
        <f>SUM(H454:H459)</f>
        <v>0</v>
      </c>
      <c r="I460" s="83">
        <f>SUM(I454:I459)</f>
        <v>368566.49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368566.49</v>
      </c>
      <c r="H461" s="42">
        <f>H452+H460</f>
        <v>0</v>
      </c>
      <c r="I461" s="42">
        <f>I452+I460</f>
        <v>368566.49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717453.74</v>
      </c>
      <c r="G465" s="18">
        <v>9043.67</v>
      </c>
      <c r="H465" s="18">
        <v>5080.93</v>
      </c>
      <c r="I465" s="18">
        <v>1771.85</v>
      </c>
      <c r="J465" s="18">
        <v>319161.18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6565936.84-205000</f>
        <v>6360936.8399999999</v>
      </c>
      <c r="G468" s="18">
        <v>158295.9</v>
      </c>
      <c r="H468" s="18">
        <f>213758.28+2.1</f>
        <v>213760.38</v>
      </c>
      <c r="I468" s="18">
        <v>205000</v>
      </c>
      <c r="J468" s="18">
        <v>100659.4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6360936.8399999999</v>
      </c>
      <c r="G470" s="53">
        <f>SUM(G468:G469)</f>
        <v>158295.9</v>
      </c>
      <c r="H470" s="53">
        <f>SUM(H468:H469)</f>
        <v>213760.38</v>
      </c>
      <c r="I470" s="53">
        <f>SUM(I468:I469)</f>
        <v>205000</v>
      </c>
      <c r="J470" s="53">
        <f>SUM(J468:J469)</f>
        <v>100659.4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6739224.9299999997</v>
      </c>
      <c r="G472" s="18">
        <v>158295.9</v>
      </c>
      <c r="H472" s="18">
        <v>213760.38</v>
      </c>
      <c r="I472" s="18">
        <v>114001.65</v>
      </c>
      <c r="J472" s="18">
        <v>51254.09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6739224.9299999997</v>
      </c>
      <c r="G474" s="53">
        <f>SUM(G472:G473)</f>
        <v>158295.9</v>
      </c>
      <c r="H474" s="53">
        <f>SUM(H472:H473)</f>
        <v>213760.38</v>
      </c>
      <c r="I474" s="53">
        <f>SUM(I472:I473)</f>
        <v>114001.65</v>
      </c>
      <c r="J474" s="53">
        <f>SUM(J472:J473)</f>
        <v>51254.09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339165.65000000037</v>
      </c>
      <c r="G476" s="53">
        <f>(G465+G470)- G474</f>
        <v>9043.6700000000128</v>
      </c>
      <c r="H476" s="53">
        <f>(H465+H470)- H474</f>
        <v>5080.929999999993</v>
      </c>
      <c r="I476" s="53">
        <f>(I465+I470)- I474</f>
        <v>92770.200000000012</v>
      </c>
      <c r="J476" s="53">
        <f>(J465+J470)- J474</f>
        <v>368566.49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217724.25</v>
      </c>
      <c r="G521" s="18">
        <v>103292.29</v>
      </c>
      <c r="H521" s="18">
        <v>77786.55</v>
      </c>
      <c r="I521" s="18">
        <v>12624.92</v>
      </c>
      <c r="J521" s="18"/>
      <c r="K521" s="18">
        <v>437.25</v>
      </c>
      <c r="L521" s="88">
        <f>SUM(F521:K521)</f>
        <v>411865.25999999995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80992.69</v>
      </c>
      <c r="G522" s="18">
        <v>45210.63</v>
      </c>
      <c r="H522" s="18">
        <v>132148.75</v>
      </c>
      <c r="I522" s="18">
        <v>464.46</v>
      </c>
      <c r="J522" s="18">
        <v>29.99</v>
      </c>
      <c r="K522" s="18"/>
      <c r="L522" s="88">
        <f>SUM(F522:K522)</f>
        <v>258846.52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82447.34</v>
      </c>
      <c r="G523" s="18">
        <v>30762.47</v>
      </c>
      <c r="H523" s="18">
        <v>113269.39</v>
      </c>
      <c r="I523" s="18">
        <v>389.88</v>
      </c>
      <c r="J523" s="18"/>
      <c r="K523" s="18"/>
      <c r="L523" s="88">
        <f>SUM(F523:K523)</f>
        <v>226869.08000000002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381164.28</v>
      </c>
      <c r="G524" s="108">
        <f t="shared" ref="G524:L524" si="36">SUM(G521:G523)</f>
        <v>179265.38999999998</v>
      </c>
      <c r="H524" s="108">
        <f t="shared" si="36"/>
        <v>323204.69</v>
      </c>
      <c r="I524" s="108">
        <f t="shared" si="36"/>
        <v>13479.259999999998</v>
      </c>
      <c r="J524" s="108">
        <f t="shared" si="36"/>
        <v>29.99</v>
      </c>
      <c r="K524" s="108">
        <f t="shared" si="36"/>
        <v>437.25</v>
      </c>
      <c r="L524" s="89">
        <f t="shared" si="36"/>
        <v>897580.85999999987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22721.3</v>
      </c>
      <c r="G526" s="18">
        <v>19708.849999999999</v>
      </c>
      <c r="H526" s="18">
        <v>116801.7</v>
      </c>
      <c r="I526" s="18">
        <v>342.33</v>
      </c>
      <c r="J526" s="18"/>
      <c r="K526" s="18"/>
      <c r="L526" s="88">
        <f>SUM(F526:K526)</f>
        <v>159574.17999999996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38614.82</v>
      </c>
      <c r="I527" s="18"/>
      <c r="J527" s="18"/>
      <c r="K527" s="18"/>
      <c r="L527" s="88">
        <f>SUM(F527:K527)</f>
        <v>38614.82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16664.150000000001</v>
      </c>
      <c r="I528" s="18"/>
      <c r="J528" s="18"/>
      <c r="K528" s="18"/>
      <c r="L528" s="88">
        <f>SUM(F528:K528)</f>
        <v>16664.150000000001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22721.3</v>
      </c>
      <c r="G529" s="89">
        <f t="shared" ref="G529:L529" si="37">SUM(G526:G528)</f>
        <v>19708.849999999999</v>
      </c>
      <c r="H529" s="89">
        <f t="shared" si="37"/>
        <v>172080.66999999998</v>
      </c>
      <c r="I529" s="89">
        <f t="shared" si="37"/>
        <v>342.33</v>
      </c>
      <c r="J529" s="89">
        <f t="shared" si="37"/>
        <v>0</v>
      </c>
      <c r="K529" s="89">
        <f t="shared" si="37"/>
        <v>0</v>
      </c>
      <c r="L529" s="89">
        <f t="shared" si="37"/>
        <v>214853.14999999997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29315</v>
      </c>
      <c r="G531" s="18">
        <v>7387.38</v>
      </c>
      <c r="H531" s="18"/>
      <c r="I531" s="18"/>
      <c r="J531" s="18"/>
      <c r="K531" s="18"/>
      <c r="L531" s="88">
        <f>SUM(F531:K531)</f>
        <v>36702.379999999997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20653.75</v>
      </c>
      <c r="G532" s="18">
        <v>5204.75</v>
      </c>
      <c r="H532" s="18"/>
      <c r="I532" s="18"/>
      <c r="J532" s="18"/>
      <c r="K532" s="18"/>
      <c r="L532" s="88">
        <f>SUM(F532:K532)</f>
        <v>25858.5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15990</v>
      </c>
      <c r="G533" s="18">
        <v>4029.48</v>
      </c>
      <c r="H533" s="18"/>
      <c r="I533" s="18"/>
      <c r="J533" s="18"/>
      <c r="K533" s="18"/>
      <c r="L533" s="88">
        <f>SUM(F533:K533)</f>
        <v>20019.48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65958.75</v>
      </c>
      <c r="G534" s="89">
        <f t="shared" ref="G534:L534" si="38">SUM(G531:G533)</f>
        <v>16621.61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82580.36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1975</v>
      </c>
      <c r="G541" s="18">
        <v>154.47</v>
      </c>
      <c r="H541" s="18"/>
      <c r="I541" s="18"/>
      <c r="J541" s="18"/>
      <c r="K541" s="18"/>
      <c r="L541" s="88">
        <f>SUM(F541:K541)</f>
        <v>2129.4699999999998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v>4839.26</v>
      </c>
      <c r="G542" s="18">
        <v>4431.38</v>
      </c>
      <c r="H542" s="18"/>
      <c r="I542" s="18"/>
      <c r="J542" s="18"/>
      <c r="K542" s="18"/>
      <c r="L542" s="88">
        <f>SUM(F542:K542)</f>
        <v>9270.64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v>9376.5300000000007</v>
      </c>
      <c r="G543" s="18">
        <v>4462.3900000000003</v>
      </c>
      <c r="H543" s="18">
        <v>8912.49</v>
      </c>
      <c r="I543" s="18">
        <v>3344.97</v>
      </c>
      <c r="J543" s="18"/>
      <c r="K543" s="18"/>
      <c r="L543" s="88">
        <f>SUM(F543:K543)</f>
        <v>26096.380000000005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16190.79</v>
      </c>
      <c r="G544" s="193">
        <f t="shared" ref="G544:L544" si="40">SUM(G541:G543)</f>
        <v>9048.2400000000016</v>
      </c>
      <c r="H544" s="193">
        <f t="shared" si="40"/>
        <v>8912.49</v>
      </c>
      <c r="I544" s="193">
        <f t="shared" si="40"/>
        <v>3344.97</v>
      </c>
      <c r="J544" s="193">
        <f t="shared" si="40"/>
        <v>0</v>
      </c>
      <c r="K544" s="193">
        <f t="shared" si="40"/>
        <v>0</v>
      </c>
      <c r="L544" s="193">
        <f t="shared" si="40"/>
        <v>37496.490000000005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486035.12</v>
      </c>
      <c r="G545" s="89">
        <f t="shared" ref="G545:L545" si="41">G524+G529+G534+G539+G544</f>
        <v>224644.08999999997</v>
      </c>
      <c r="H545" s="89">
        <f t="shared" si="41"/>
        <v>504197.85</v>
      </c>
      <c r="I545" s="89">
        <f t="shared" si="41"/>
        <v>17166.559999999998</v>
      </c>
      <c r="J545" s="89">
        <f t="shared" si="41"/>
        <v>29.99</v>
      </c>
      <c r="K545" s="89">
        <f t="shared" si="41"/>
        <v>437.25</v>
      </c>
      <c r="L545" s="89">
        <f t="shared" si="41"/>
        <v>1232510.8599999999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411865.25999999995</v>
      </c>
      <c r="G549" s="87">
        <f>L526</f>
        <v>159574.17999999996</v>
      </c>
      <c r="H549" s="87">
        <f>L531</f>
        <v>36702.379999999997</v>
      </c>
      <c r="I549" s="87">
        <f>L536</f>
        <v>0</v>
      </c>
      <c r="J549" s="87">
        <f>L541</f>
        <v>2129.4699999999998</v>
      </c>
      <c r="K549" s="87">
        <f>SUM(F549:J549)</f>
        <v>610271.28999999992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258846.52</v>
      </c>
      <c r="G550" s="87">
        <f>L527</f>
        <v>38614.82</v>
      </c>
      <c r="H550" s="87">
        <f>L532</f>
        <v>25858.5</v>
      </c>
      <c r="I550" s="87">
        <f>L537</f>
        <v>0</v>
      </c>
      <c r="J550" s="87">
        <f>L542</f>
        <v>9270.64</v>
      </c>
      <c r="K550" s="87">
        <f>SUM(F550:J550)</f>
        <v>332590.48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226869.08000000002</v>
      </c>
      <c r="G551" s="87">
        <f>L528</f>
        <v>16664.150000000001</v>
      </c>
      <c r="H551" s="87">
        <f>L533</f>
        <v>20019.48</v>
      </c>
      <c r="I551" s="87">
        <f>L538</f>
        <v>0</v>
      </c>
      <c r="J551" s="87">
        <f>L543</f>
        <v>26096.380000000005</v>
      </c>
      <c r="K551" s="87">
        <f>SUM(F551:J551)</f>
        <v>289649.09000000003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897580.85999999987</v>
      </c>
      <c r="G552" s="89">
        <f t="shared" si="42"/>
        <v>214853.14999999997</v>
      </c>
      <c r="H552" s="89">
        <f t="shared" si="42"/>
        <v>82580.36</v>
      </c>
      <c r="I552" s="89">
        <f t="shared" si="42"/>
        <v>0</v>
      </c>
      <c r="J552" s="89">
        <f t="shared" si="42"/>
        <v>37496.490000000005</v>
      </c>
      <c r="K552" s="89">
        <f t="shared" si="42"/>
        <v>1232510.8599999999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4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4"/>
      <c r="H578" s="4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f>34238.96+3983.77</f>
        <v>38222.729999999996</v>
      </c>
      <c r="I579" s="87">
        <f>SUM(F579:H579)</f>
        <v>38222.729999999996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6061+1620</f>
        <v>7681</v>
      </c>
      <c r="G582" s="18">
        <v>54771.07</v>
      </c>
      <c r="H582" s="18">
        <f>62002.42</f>
        <v>62002.42</v>
      </c>
      <c r="I582" s="87">
        <f>SUM(F582:H582)</f>
        <v>124454.48999999999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>
        <v>73127.039999999994</v>
      </c>
      <c r="H583" s="18"/>
      <c r="I583" s="87">
        <f t="shared" si="47"/>
        <v>73127.039999999994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f>29078</f>
        <v>29078</v>
      </c>
      <c r="I584" s="87">
        <f t="shared" si="47"/>
        <v>29078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7455.54+2392.9+47.3+28.01+531.53+582.66+12.72+5093.7+33576.55+2903.53+8+6124.72</f>
        <v>58757.16</v>
      </c>
      <c r="I591" s="18">
        <f>3260.11+2244.13+40.27+224.56+190.94+5.56+17959.55</f>
        <v>23925.119999999999</v>
      </c>
      <c r="J591" s="18">
        <f>26548.9</f>
        <v>26548.9</v>
      </c>
      <c r="K591" s="104">
        <f t="shared" ref="K591:K597" si="48">SUM(H591:J591)</f>
        <v>109231.18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1975+151.1+3.37</f>
        <v>2129.4699999999998</v>
      </c>
      <c r="I592" s="18">
        <f>4839.26+3464.25+82.78+335.54+540.55+8.26</f>
        <v>9270.6400000000012</v>
      </c>
      <c r="J592" s="18">
        <f>9376.53+3188.37+76.17+684.68+497.17+16+5317.95+3594.54+3344.97</f>
        <v>26096.380000000005</v>
      </c>
      <c r="K592" s="104">
        <f t="shared" si="48"/>
        <v>37496.490000000005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66705.05</f>
        <v>66705.05</v>
      </c>
      <c r="K593" s="104">
        <f t="shared" si="48"/>
        <v>66705.05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f>7702.45</f>
        <v>7702.45</v>
      </c>
      <c r="J594" s="18">
        <f>15575.9</f>
        <v>15575.9</v>
      </c>
      <c r="K594" s="104">
        <f t="shared" si="48"/>
        <v>23278.35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14311-10742.5</f>
        <v>3568.5</v>
      </c>
      <c r="I595" s="18">
        <v>10742.5</v>
      </c>
      <c r="J595" s="18">
        <f>524.52+38.39+21.52+3342.49</f>
        <v>3926.9199999999996</v>
      </c>
      <c r="K595" s="104">
        <f t="shared" si="48"/>
        <v>18237.919999999998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64455.130000000005</v>
      </c>
      <c r="I598" s="108">
        <f>SUM(I591:I597)</f>
        <v>51640.71</v>
      </c>
      <c r="J598" s="108">
        <f>SUM(J591:J597)</f>
        <v>138853.15000000002</v>
      </c>
      <c r="K598" s="108">
        <f>SUM(K591:K597)</f>
        <v>254948.99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6873.09+2504.82+963.18+442.17+1645.56</f>
        <v>12428.82</v>
      </c>
      <c r="I604" s="18">
        <f>2657.74+29.99+1260.38+515.19</f>
        <v>4463.2999999999993</v>
      </c>
      <c r="J604" s="18">
        <f>24404.62+346.5+2209.66+9153.85+160.26+949</f>
        <v>37223.89</v>
      </c>
      <c r="K604" s="104">
        <f>SUM(H604:J604)</f>
        <v>54116.009999999995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12428.82</v>
      </c>
      <c r="I605" s="108">
        <f>SUM(I602:I604)</f>
        <v>4463.2999999999993</v>
      </c>
      <c r="J605" s="108">
        <f>SUM(J602:J604)</f>
        <v>37223.89</v>
      </c>
      <c r="K605" s="108">
        <f>SUM(K602:K604)</f>
        <v>54116.009999999995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11980+2750+218.75</f>
        <v>14948.75</v>
      </c>
      <c r="G611" s="18">
        <f>364.73+898.05+332.54+925.7+203.32+212.4+4.69+16.75+23.56</f>
        <v>2981.7400000000002</v>
      </c>
      <c r="H611" s="18">
        <f>3469.5+1578.04+647.5</f>
        <v>5695.04</v>
      </c>
      <c r="I611" s="18">
        <f>38.24</f>
        <v>38.24</v>
      </c>
      <c r="J611" s="18"/>
      <c r="K611" s="18"/>
      <c r="L611" s="88">
        <f>SUM(F611:K611)</f>
        <v>23663.770000000004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2593.75+875</f>
        <v>3468.75</v>
      </c>
      <c r="G612" s="18">
        <f>198.42+226.56+63.37+123.9+1.49</f>
        <v>613.74</v>
      </c>
      <c r="H612" s="18"/>
      <c r="I612" s="18"/>
      <c r="J612" s="18"/>
      <c r="K612" s="18"/>
      <c r="L612" s="88">
        <f>SUM(F612:K612)</f>
        <v>4082.49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3998+287.5</f>
        <v>4285.5</v>
      </c>
      <c r="G613" s="18">
        <f>296.56+566.12+22+40.71+0.49</f>
        <v>925.88000000000011</v>
      </c>
      <c r="H613" s="18"/>
      <c r="I613" s="18">
        <f>1256.34</f>
        <v>1256.3399999999999</v>
      </c>
      <c r="J613" s="18"/>
      <c r="K613" s="18"/>
      <c r="L613" s="88">
        <f>SUM(F613:K613)</f>
        <v>6467.72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22703</v>
      </c>
      <c r="G614" s="108">
        <f t="shared" si="49"/>
        <v>4521.3600000000006</v>
      </c>
      <c r="H614" s="108">
        <f t="shared" si="49"/>
        <v>5695.04</v>
      </c>
      <c r="I614" s="108">
        <f t="shared" si="49"/>
        <v>1294.58</v>
      </c>
      <c r="J614" s="108">
        <f t="shared" si="49"/>
        <v>0</v>
      </c>
      <c r="K614" s="108">
        <f t="shared" si="49"/>
        <v>0</v>
      </c>
      <c r="L614" s="89">
        <f t="shared" si="49"/>
        <v>34213.980000000003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1027565.1199999999</v>
      </c>
      <c r="H617" s="109">
        <f>SUM(F52)</f>
        <v>1027565.12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28849.759999999998</v>
      </c>
      <c r="H618" s="109">
        <f>SUM(G52)</f>
        <v>28849.760000000002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151947.35</v>
      </c>
      <c r="H619" s="109">
        <f>SUM(H52)</f>
        <v>151947.35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206771.85</v>
      </c>
      <c r="H620" s="109">
        <f>SUM(I52)</f>
        <v>206771.84999999998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368566.49</v>
      </c>
      <c r="H621" s="109">
        <f>SUM(J52)</f>
        <v>368566.49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339165.65</v>
      </c>
      <c r="H622" s="109">
        <f>F476</f>
        <v>339165.65000000037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9043.67</v>
      </c>
      <c r="H623" s="109">
        <f>G476</f>
        <v>9043.6700000000128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5080.93</v>
      </c>
      <c r="H624" s="109">
        <f>H476</f>
        <v>5080.929999999993</v>
      </c>
      <c r="I624" s="121" t="s">
        <v>103</v>
      </c>
      <c r="J624" s="109">
        <f t="shared" si="50"/>
        <v>7.2759576141834259E-12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92770.2</v>
      </c>
      <c r="H625" s="109">
        <f>I476</f>
        <v>92770.200000000012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368566.49</v>
      </c>
      <c r="H626" s="109">
        <f>J476</f>
        <v>368566.49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6360936.8399999989</v>
      </c>
      <c r="H627" s="104">
        <f>SUM(F468)</f>
        <v>6360936.8399999999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158295.9</v>
      </c>
      <c r="H628" s="104">
        <f>SUM(G468)</f>
        <v>158295.9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213760.38</v>
      </c>
      <c r="H629" s="104">
        <f>SUM(H468)</f>
        <v>213760.38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205000</v>
      </c>
      <c r="H630" s="104">
        <f>SUM(I468)</f>
        <v>205000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100659.4</v>
      </c>
      <c r="H631" s="104">
        <f>SUM(J468)</f>
        <v>100659.4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6739224.9299999997</v>
      </c>
      <c r="H632" s="104">
        <f>SUM(F472)</f>
        <v>6739224.9299999997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213760.37999999998</v>
      </c>
      <c r="H633" s="104">
        <f>SUM(H472)</f>
        <v>213760.38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1609.5900000000001</v>
      </c>
      <c r="H634" s="104">
        <f>I369</f>
        <v>1609.5900000000001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158295.9</v>
      </c>
      <c r="H635" s="104">
        <f>SUM(G472)</f>
        <v>158295.9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114001.65</v>
      </c>
      <c r="H636" s="104">
        <f>SUM(I472)</f>
        <v>114001.65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100659.40000000001</v>
      </c>
      <c r="H637" s="164">
        <f>SUM(J468)</f>
        <v>100659.4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51254.09</v>
      </c>
      <c r="H638" s="164">
        <f>SUM(J472)</f>
        <v>51254.09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368566.49</v>
      </c>
      <c r="H640" s="104">
        <f>SUM(G461)</f>
        <v>368566.49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368566.49</v>
      </c>
      <c r="H642" s="104">
        <f>SUM(I461)</f>
        <v>368566.49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659.4</v>
      </c>
      <c r="H644" s="104">
        <f>H408</f>
        <v>659.40000000000009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100000</v>
      </c>
      <c r="H645" s="104">
        <f>G408</f>
        <v>100000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100659.4</v>
      </c>
      <c r="H646" s="104">
        <f>L408</f>
        <v>100659.40000000001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254948.99</v>
      </c>
      <c r="H647" s="104">
        <f>L208+L226+L244</f>
        <v>254948.99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54116.009999999995</v>
      </c>
      <c r="H648" s="104">
        <f>(J257+J338)-(J255+J336)</f>
        <v>54116.009999999995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64455.130000000005</v>
      </c>
      <c r="H649" s="104">
        <f>H598</f>
        <v>64455.130000000005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51640.71</v>
      </c>
      <c r="H650" s="104">
        <f>I598</f>
        <v>51640.71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138853.15</v>
      </c>
      <c r="H651" s="104">
        <f>J598</f>
        <v>138853.15000000002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15185.74</v>
      </c>
      <c r="H652" s="104">
        <f>K263+K345</f>
        <v>15185.74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100000</v>
      </c>
      <c r="H655" s="104">
        <f>K266+K347</f>
        <v>100000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2910155.0999999996</v>
      </c>
      <c r="G660" s="19">
        <f>(L229+L309+L359)</f>
        <v>1617394.7999999998</v>
      </c>
      <c r="H660" s="19">
        <f>(L247+L328+L360)</f>
        <v>2413331.89</v>
      </c>
      <c r="I660" s="19">
        <f>SUM(F660:H660)</f>
        <v>6940881.7899999991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19868.708783796668</v>
      </c>
      <c r="G661" s="19">
        <f>(L359/IF(SUM(L358:L360)=0,1,SUM(L358:L360))*(SUM(G97:G110)))</f>
        <v>11672.908834246497</v>
      </c>
      <c r="H661" s="19">
        <f>(L360/IF(SUM(L358:L360)=0,1,SUM(L358:L360))*(SUM(G97:G110)))</f>
        <v>17254.082381956829</v>
      </c>
      <c r="I661" s="19">
        <f>SUM(F661:H661)</f>
        <v>48795.7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64455.130000000005</v>
      </c>
      <c r="G662" s="19">
        <f>(L226+L306)-(J226+J306)</f>
        <v>51640.71</v>
      </c>
      <c r="H662" s="19">
        <f>(L244+L325)-(J244+J325)</f>
        <v>130460.87999999999</v>
      </c>
      <c r="I662" s="19">
        <f>SUM(F662:H662)</f>
        <v>246556.71999999997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43773.590000000004</v>
      </c>
      <c r="G663" s="199">
        <f>SUM(G575:G587)+SUM(I602:I604)+L612</f>
        <v>136443.89999999997</v>
      </c>
      <c r="H663" s="199">
        <f>SUM(H576:H587)+SUM(J602:J604)+L613</f>
        <v>172994.75999999998</v>
      </c>
      <c r="I663" s="19">
        <f>SUM(F663:H663)</f>
        <v>353212.24999999994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2782057.6712162029</v>
      </c>
      <c r="G664" s="19">
        <f>G660-SUM(G661:G663)</f>
        <v>1417637.2811657533</v>
      </c>
      <c r="H664" s="19">
        <f>H660-SUM(H661:H663)</f>
        <v>2092622.1676180433</v>
      </c>
      <c r="I664" s="19">
        <f>I660-SUM(I661:I663)</f>
        <v>6292317.1199999992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137.71</v>
      </c>
      <c r="G665" s="248">
        <v>75.25</v>
      </c>
      <c r="H665" s="248">
        <v>99.19</v>
      </c>
      <c r="I665" s="19">
        <f>SUM(F665:H665)</f>
        <v>312.14999999999998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20202.29</v>
      </c>
      <c r="G667" s="19">
        <f>ROUND(G664/G665,2)</f>
        <v>18839.03</v>
      </c>
      <c r="H667" s="19">
        <f>ROUND(H664/H665,2)</f>
        <v>21097.11</v>
      </c>
      <c r="I667" s="19">
        <f>ROUND(I664/I665,2)</f>
        <v>20157.990000000002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-6</v>
      </c>
      <c r="I670" s="19">
        <f>SUM(F670:H670)</f>
        <v>-6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20202.29</v>
      </c>
      <c r="G672" s="19">
        <f>ROUND((G664+G669)/(G665+G670),2)</f>
        <v>18839.03</v>
      </c>
      <c r="H672" s="19">
        <f>ROUND((H664+H669)/(H665+H670),2)</f>
        <v>22455.439999999999</v>
      </c>
      <c r="I672" s="19">
        <f>ROUND((I664+I669)/(I665+I670),2)</f>
        <v>20553.05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Lincoln-Woodstock Cooperative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2074045.7000000002</v>
      </c>
      <c r="C9" s="229">
        <f>'DOE25'!G197+'DOE25'!G215+'DOE25'!G233+'DOE25'!G276+'DOE25'!G295+'DOE25'!G314</f>
        <v>1100761.78</v>
      </c>
    </row>
    <row r="10" spans="1:3" x14ac:dyDescent="0.2">
      <c r="A10" t="s">
        <v>779</v>
      </c>
      <c r="B10" s="240">
        <f>822410.66+445256.28+692110.89+66172.87-16276.37</f>
        <v>2009674.33</v>
      </c>
      <c r="C10" s="240">
        <f>242938.2+6141.99+914.75+288.53+64067.74+192.67+133609.91+1403.19+124525.64+3527.21+483.8+154.33+35229.98+167.57+75600.51+759.69+212146.46+4167.3+983.44+228.14+55029.83+72.62+114980.75+1180.88+7659.24+366.03+4933.18+1922.8+7085.4-4177.16-3679.27</f>
        <v>1092905.3499999996</v>
      </c>
    </row>
    <row r="11" spans="1:3" x14ac:dyDescent="0.2">
      <c r="A11" t="s">
        <v>780</v>
      </c>
      <c r="B11" s="240">
        <v>16276.37</v>
      </c>
      <c r="C11" s="240">
        <f>1245.15+1818.09+937.5+71.71+104.71</f>
        <v>4177.16</v>
      </c>
    </row>
    <row r="12" spans="1:3" x14ac:dyDescent="0.2">
      <c r="A12" t="s">
        <v>781</v>
      </c>
      <c r="B12" s="240">
        <f>22995+6782.5+18317.5</f>
        <v>48095</v>
      </c>
      <c r="C12" s="240">
        <v>3679.27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2074045.7000000002</v>
      </c>
      <c r="C13" s="231">
        <f>SUM(C10:C12)</f>
        <v>1100761.7799999996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384664.28</v>
      </c>
      <c r="C18" s="229">
        <f>'DOE25'!G198+'DOE25'!G216+'DOE25'!G234+'DOE25'!G277+'DOE25'!G296+'DOE25'!G315</f>
        <v>179638.39</v>
      </c>
    </row>
    <row r="19" spans="1:3" x14ac:dyDescent="0.2">
      <c r="A19" t="s">
        <v>779</v>
      </c>
      <c r="B19" s="240">
        <f>199358.39+79442.69+81447.34+1500+2750+875+287.5+2000-131980</f>
        <v>235680.92000000004</v>
      </c>
      <c r="C19" s="240">
        <f>54900.77+1548.12+162.2+16091.22+7480.1+22318.52+340.14+25182.75+415.17+88.28+6275.59+2172.21+10752.33+135.54+13080.74+732.06+154.26+6657.91+2270.51+7664.82+138.97+203.32+212.4+4.69+63.37+123.9+1.49+22+40.71+0.49+133.61+67.02+172.37-70914+30.81-1264.35</f>
        <v>107460.03999999995</v>
      </c>
    </row>
    <row r="20" spans="1:3" x14ac:dyDescent="0.2">
      <c r="A20" t="s">
        <v>780</v>
      </c>
      <c r="B20" s="240">
        <f>475.86+131980</f>
        <v>132455.85999999999</v>
      </c>
      <c r="C20" s="240">
        <f>30.81+45955+10132.87+14795.32</f>
        <v>70914</v>
      </c>
    </row>
    <row r="21" spans="1:3" x14ac:dyDescent="0.2">
      <c r="A21" t="s">
        <v>781</v>
      </c>
      <c r="B21" s="240">
        <f>15140+675+712.5</f>
        <v>16527.5</v>
      </c>
      <c r="C21" s="240">
        <v>1264.3499999999999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384664.28</v>
      </c>
      <c r="C22" s="231">
        <f>SUM(C19:C21)</f>
        <v>179638.38999999996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73717.73000000001</v>
      </c>
      <c r="C36" s="235">
        <f>'DOE25'!G200+'DOE25'!G218+'DOE25'!G236+'DOE25'!G279+'DOE25'!G298+'DOE25'!G317</f>
        <v>12566.61</v>
      </c>
    </row>
    <row r="37" spans="1:3" x14ac:dyDescent="0.2">
      <c r="A37" t="s">
        <v>779</v>
      </c>
      <c r="B37" s="240">
        <f>11980+2593.75+3998</f>
        <v>18571.75</v>
      </c>
      <c r="C37" s="240">
        <f>364.73+898.05+332.54+925.7+198.42+226.56+296.56+566.12</f>
        <v>3808.68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f>639+10642+43864.98</f>
        <v>55145.98</v>
      </c>
      <c r="C39" s="240">
        <f>45.52+100.13+876.83+696.01+19.25+3369.9+573.39+2802.06+74.84+200</f>
        <v>8757.93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73717.73000000001</v>
      </c>
      <c r="C40" s="231">
        <f>SUM(C37:C39)</f>
        <v>12566.61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Lincoln-Woodstock Cooperative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4288958.2699999996</v>
      </c>
      <c r="D5" s="20">
        <f>SUM('DOE25'!L197:L200)+SUM('DOE25'!L215:L218)+SUM('DOE25'!L233:L236)-F5-G5</f>
        <v>4240893.0999999996</v>
      </c>
      <c r="E5" s="243"/>
      <c r="F5" s="255">
        <f>SUM('DOE25'!J197:J200)+SUM('DOE25'!J215:J218)+SUM('DOE25'!J233:J236)</f>
        <v>34567.870000000003</v>
      </c>
      <c r="G5" s="53">
        <f>SUM('DOE25'!K197:K200)+SUM('DOE25'!K215:K218)+SUM('DOE25'!K233:K236)</f>
        <v>13497.3</v>
      </c>
      <c r="H5" s="259"/>
    </row>
    <row r="6" spans="1:9" x14ac:dyDescent="0.2">
      <c r="A6" s="32">
        <v>2100</v>
      </c>
      <c r="B6" t="s">
        <v>801</v>
      </c>
      <c r="C6" s="245">
        <f t="shared" si="0"/>
        <v>496927.25</v>
      </c>
      <c r="D6" s="20">
        <f>'DOE25'!L202+'DOE25'!L220+'DOE25'!L238-F6-G6</f>
        <v>496386.75</v>
      </c>
      <c r="E6" s="243"/>
      <c r="F6" s="255">
        <f>'DOE25'!J202+'DOE25'!J220+'DOE25'!J238</f>
        <v>346.5</v>
      </c>
      <c r="G6" s="53">
        <f>'DOE25'!K202+'DOE25'!K220+'DOE25'!K238</f>
        <v>194</v>
      </c>
      <c r="H6" s="259"/>
    </row>
    <row r="7" spans="1:9" x14ac:dyDescent="0.2">
      <c r="A7" s="32">
        <v>2200</v>
      </c>
      <c r="B7" t="s">
        <v>834</v>
      </c>
      <c r="C7" s="245">
        <f t="shared" si="0"/>
        <v>176265.36</v>
      </c>
      <c r="D7" s="20">
        <f>'DOE25'!L203+'DOE25'!L221+'DOE25'!L239-F7-G7</f>
        <v>175956.9</v>
      </c>
      <c r="E7" s="243"/>
      <c r="F7" s="255">
        <f>'DOE25'!J203+'DOE25'!J221+'DOE25'!J239</f>
        <v>148.46</v>
      </c>
      <c r="G7" s="53">
        <f>'DOE25'!K203+'DOE25'!K221+'DOE25'!K239</f>
        <v>160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351765.01000000007</v>
      </c>
      <c r="D8" s="243"/>
      <c r="E8" s="20">
        <f>'DOE25'!L204+'DOE25'!L222+'DOE25'!L240-F8-G8-D9-D11</f>
        <v>343790.14000000007</v>
      </c>
      <c r="F8" s="255">
        <f>'DOE25'!J204+'DOE25'!J222+'DOE25'!J240</f>
        <v>0</v>
      </c>
      <c r="G8" s="53">
        <f>'DOE25'!K204+'DOE25'!K222+'DOE25'!K240</f>
        <v>7974.8700000000008</v>
      </c>
      <c r="H8" s="259"/>
    </row>
    <row r="9" spans="1:9" x14ac:dyDescent="0.2">
      <c r="A9" s="32">
        <v>2310</v>
      </c>
      <c r="B9" t="s">
        <v>818</v>
      </c>
      <c r="C9" s="245">
        <f t="shared" si="0"/>
        <v>13551.26</v>
      </c>
      <c r="D9" s="244">
        <v>13551.26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8500</v>
      </c>
      <c r="D10" s="243"/>
      <c r="E10" s="244">
        <v>8500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173532.56</v>
      </c>
      <c r="D11" s="244">
        <f>123643.1+49889.46</f>
        <v>173532.56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362700.41000000003</v>
      </c>
      <c r="D12" s="20">
        <f>'DOE25'!L205+'DOE25'!L223+'DOE25'!L241-F12-G12</f>
        <v>350642.51</v>
      </c>
      <c r="E12" s="243"/>
      <c r="F12" s="255">
        <f>'DOE25'!J205+'DOE25'!J223+'DOE25'!J241</f>
        <v>5826.4</v>
      </c>
      <c r="G12" s="53">
        <f>'DOE25'!K205+'DOE25'!K223+'DOE25'!K241</f>
        <v>6231.5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449750.4</v>
      </c>
      <c r="D14" s="20">
        <f>'DOE25'!L207+'DOE25'!L225+'DOE25'!L243-F14-G14</f>
        <v>429725.36</v>
      </c>
      <c r="E14" s="243"/>
      <c r="F14" s="255">
        <f>'DOE25'!J207+'DOE25'!J225+'DOE25'!J243</f>
        <v>2239.9499999999998</v>
      </c>
      <c r="G14" s="53">
        <f>'DOE25'!K207+'DOE25'!K225+'DOE25'!K243</f>
        <v>17785.089999999997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254948.99</v>
      </c>
      <c r="D15" s="20">
        <f>'DOE25'!L208+'DOE25'!L226+'DOE25'!L244-F15-G15</f>
        <v>246556.72</v>
      </c>
      <c r="E15" s="243"/>
      <c r="F15" s="255">
        <f>'DOE25'!J208+'DOE25'!J226+'DOE25'!J244</f>
        <v>8392.27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426</v>
      </c>
      <c r="D16" s="243"/>
      <c r="E16" s="20">
        <f>'DOE25'!L209+'DOE25'!L227+'DOE25'!L245-F16-G16</f>
        <v>426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1276.46</v>
      </c>
      <c r="D25" s="243"/>
      <c r="E25" s="243"/>
      <c r="F25" s="258"/>
      <c r="G25" s="256"/>
      <c r="H25" s="257">
        <f>'DOE25'!L260+'DOE25'!L261+'DOE25'!L341+'DOE25'!L342</f>
        <v>1276.46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158295.9</v>
      </c>
      <c r="D29" s="20">
        <f>'DOE25'!L358+'DOE25'!L359+'DOE25'!L360-'DOE25'!I367-F29-G29</f>
        <v>164627.84</v>
      </c>
      <c r="E29" s="243"/>
      <c r="F29" s="255">
        <f>'DOE25'!J358+'DOE25'!J359+'DOE25'!J360</f>
        <v>0</v>
      </c>
      <c r="G29" s="53">
        <f>'DOE25'!K358+'DOE25'!K359+'DOE25'!K360</f>
        <v>-6331.94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213760.37999999998</v>
      </c>
      <c r="D31" s="20">
        <f>'DOE25'!L290+'DOE25'!L309+'DOE25'!L328+'DOE25'!L333+'DOE25'!L334+'DOE25'!L335-F31-G31</f>
        <v>208140.81999999998</v>
      </c>
      <c r="E31" s="243"/>
      <c r="F31" s="255">
        <f>'DOE25'!J290+'DOE25'!J309+'DOE25'!J328+'DOE25'!J333+'DOE25'!J334+'DOE25'!J335</f>
        <v>2594.56</v>
      </c>
      <c r="G31" s="53">
        <f>'DOE25'!K290+'DOE25'!K309+'DOE25'!K328+'DOE25'!K333+'DOE25'!K334+'DOE25'!K335</f>
        <v>3025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6500013.8199999994</v>
      </c>
      <c r="E33" s="246">
        <f>SUM(E5:E31)</f>
        <v>352716.14000000007</v>
      </c>
      <c r="F33" s="246">
        <f>SUM(F5:F31)</f>
        <v>54116.009999999995</v>
      </c>
      <c r="G33" s="246">
        <f>SUM(G5:G31)</f>
        <v>42535.819999999992</v>
      </c>
      <c r="H33" s="246">
        <f>SUM(H5:H31)</f>
        <v>1276.46</v>
      </c>
    </row>
    <row r="35" spans="2:8" ht="12" thickBot="1" x14ac:dyDescent="0.25">
      <c r="B35" s="253" t="s">
        <v>847</v>
      </c>
      <c r="D35" s="254">
        <f>E33</f>
        <v>352716.14000000007</v>
      </c>
      <c r="E35" s="249"/>
    </row>
    <row r="36" spans="2:8" ht="12" thickTop="1" x14ac:dyDescent="0.2">
      <c r="B36" t="s">
        <v>815</v>
      </c>
      <c r="D36" s="20">
        <f>D33</f>
        <v>6500013.8199999994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Lincoln-Woodstock Cooperative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743684.2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368566.49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270228.56999999995</v>
      </c>
      <c r="D11" s="95">
        <f>'DOE25'!G12</f>
        <v>0</v>
      </c>
      <c r="E11" s="95">
        <f>'DOE25'!H12</f>
        <v>13102.07</v>
      </c>
      <c r="F11" s="95">
        <f>'DOE25'!I12</f>
        <v>206771.85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16818.509999999998</v>
      </c>
      <c r="E12" s="95">
        <f>'DOE25'!H13</f>
        <v>138845.28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13652.349999999999</v>
      </c>
      <c r="D13" s="95">
        <f>'DOE25'!G14</f>
        <v>12031.25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1027565.1199999999</v>
      </c>
      <c r="D18" s="41">
        <f>SUM(D8:D17)</f>
        <v>28849.759999999998</v>
      </c>
      <c r="E18" s="41">
        <f>SUM(E8:E17)</f>
        <v>151947.35</v>
      </c>
      <c r="F18" s="41">
        <f>SUM(F8:F17)</f>
        <v>206771.85</v>
      </c>
      <c r="G18" s="41">
        <f>SUM(G8:G17)</f>
        <v>368566.49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361550.88</v>
      </c>
      <c r="D21" s="95">
        <f>'DOE25'!G22</f>
        <v>19806.09</v>
      </c>
      <c r="E21" s="95">
        <f>'DOE25'!H22</f>
        <v>132819.34000000003</v>
      </c>
      <c r="F21" s="95">
        <f>'DOE25'!I22</f>
        <v>114001.65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37588.49</v>
      </c>
      <c r="D23" s="95">
        <f>'DOE25'!G24</f>
        <v>0</v>
      </c>
      <c r="E23" s="95">
        <f>'DOE25'!H24</f>
        <v>3165.05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287120.09999999998</v>
      </c>
      <c r="D27" s="95">
        <f>'DOE25'!G28</f>
        <v>0</v>
      </c>
      <c r="E27" s="95">
        <f>'DOE25'!H28</f>
        <v>9824.99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2140</v>
      </c>
      <c r="D29" s="95">
        <f>'DOE25'!G30</f>
        <v>0</v>
      </c>
      <c r="E29" s="95">
        <f>'DOE25'!H30</f>
        <v>1057.04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688399.47</v>
      </c>
      <c r="D31" s="41">
        <f>SUM(D21:D30)</f>
        <v>19806.09</v>
      </c>
      <c r="E31" s="41">
        <f>SUM(E21:E30)</f>
        <v>146866.42000000001</v>
      </c>
      <c r="F31" s="41">
        <f>SUM(F21:F30)</f>
        <v>114001.65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9043.67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85000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368566.49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24257.4</v>
      </c>
      <c r="D48" s="95">
        <f>'DOE25'!G49</f>
        <v>0</v>
      </c>
      <c r="E48" s="95">
        <f>'DOE25'!H49</f>
        <v>5080.93</v>
      </c>
      <c r="F48" s="95">
        <f>'DOE25'!I49</f>
        <v>7770.2000000000007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214908.25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339165.65</v>
      </c>
      <c r="D50" s="41">
        <f>SUM(D34:D49)</f>
        <v>9043.67</v>
      </c>
      <c r="E50" s="41">
        <f>SUM(E34:E49)</f>
        <v>5080.93</v>
      </c>
      <c r="F50" s="41">
        <f>SUM(F34:F49)</f>
        <v>92770.2</v>
      </c>
      <c r="G50" s="41">
        <f>SUM(G34:G49)</f>
        <v>368566.49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1027565.12</v>
      </c>
      <c r="D51" s="41">
        <f>D50+D31</f>
        <v>28849.760000000002</v>
      </c>
      <c r="E51" s="41">
        <f>E50+E31</f>
        <v>151947.35</v>
      </c>
      <c r="F51" s="41">
        <f>F50+F31</f>
        <v>206771.84999999998</v>
      </c>
      <c r="G51" s="41">
        <f>G50+G31</f>
        <v>368566.49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3534889</v>
      </c>
      <c r="D56" s="95">
        <f>'DOE25'!G60</f>
        <v>0</v>
      </c>
      <c r="E56" s="95">
        <f>'DOE25'!H60</f>
        <v>0</v>
      </c>
      <c r="F56" s="95">
        <f>'DOE25'!I60</f>
        <v>205000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610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0.43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659.4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48795.7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26259.199999999997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26869.629999999997</v>
      </c>
      <c r="D62" s="130">
        <f>SUM(D57:D61)</f>
        <v>48795.7</v>
      </c>
      <c r="E62" s="130">
        <f>SUM(E57:E61)</f>
        <v>0</v>
      </c>
      <c r="F62" s="130">
        <f>SUM(F57:F61)</f>
        <v>0</v>
      </c>
      <c r="G62" s="130">
        <f>SUM(G57:G61)</f>
        <v>659.4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3561758.63</v>
      </c>
      <c r="D63" s="22">
        <f>D56+D62</f>
        <v>48795.7</v>
      </c>
      <c r="E63" s="22">
        <f>E56+E62</f>
        <v>0</v>
      </c>
      <c r="F63" s="22">
        <f>F56+F62</f>
        <v>205000</v>
      </c>
      <c r="G63" s="22">
        <f>G56+G62</f>
        <v>659.4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268857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2378187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2647044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46702.02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11052.8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1797.79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57754.819999999992</v>
      </c>
      <c r="D78" s="130">
        <f>SUM(D72:D77)</f>
        <v>1797.79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2704798.82</v>
      </c>
      <c r="D81" s="130">
        <f>SUM(D79:D80)+D78+D70</f>
        <v>1797.79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6331.94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40536.68</v>
      </c>
      <c r="D88" s="95">
        <f>SUM('DOE25'!G153:G161)</f>
        <v>92516.67</v>
      </c>
      <c r="E88" s="95">
        <f>SUM('DOE25'!H153:H161)</f>
        <v>207428.44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53842.71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94379.39</v>
      </c>
      <c r="D91" s="131">
        <f>SUM(D85:D90)</f>
        <v>92516.67</v>
      </c>
      <c r="E91" s="131">
        <f>SUM(E85:E90)</f>
        <v>213760.38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15185.74</v>
      </c>
      <c r="E96" s="95">
        <f>'DOE25'!H179</f>
        <v>0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15185.74</v>
      </c>
      <c r="E103" s="86">
        <f>SUM(E93:E102)</f>
        <v>0</v>
      </c>
      <c r="F103" s="86">
        <f>SUM(F93:F102)</f>
        <v>0</v>
      </c>
      <c r="G103" s="86">
        <f>SUM(G93:G102)</f>
        <v>100000</v>
      </c>
    </row>
    <row r="104" spans="1:7" ht="12.75" thickTop="1" thickBot="1" x14ac:dyDescent="0.25">
      <c r="A104" s="33" t="s">
        <v>765</v>
      </c>
      <c r="C104" s="86">
        <f>C63+C81+C91+C103</f>
        <v>6360936.8399999989</v>
      </c>
      <c r="D104" s="86">
        <f>D63+D81+D91+D103</f>
        <v>158295.9</v>
      </c>
      <c r="E104" s="86">
        <f>E63+E81+E91+E103</f>
        <v>213760.38</v>
      </c>
      <c r="F104" s="86">
        <f>F63+F81+F91+F103</f>
        <v>205000</v>
      </c>
      <c r="G104" s="86">
        <f>G63+G81+G103</f>
        <v>100659.4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3281573.8</v>
      </c>
      <c r="D109" s="24" t="s">
        <v>289</v>
      </c>
      <c r="E109" s="95">
        <f>('DOE25'!L276)+('DOE25'!L295)+('DOE25'!L314)</f>
        <v>105079.54999999999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854386.55999999994</v>
      </c>
      <c r="D110" s="24" t="s">
        <v>289</v>
      </c>
      <c r="E110" s="95">
        <f>('DOE25'!L277)+('DOE25'!L296)+('DOE25'!L315)</f>
        <v>62992.439999999995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29078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123919.91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4288958.2699999996</v>
      </c>
      <c r="D115" s="86">
        <f>SUM(D109:D114)</f>
        <v>0</v>
      </c>
      <c r="E115" s="86">
        <f>SUM(E109:E114)</f>
        <v>168071.99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496927.25</v>
      </c>
      <c r="D118" s="24" t="s">
        <v>289</v>
      </c>
      <c r="E118" s="95">
        <f>+('DOE25'!L281)+('DOE25'!L300)+('DOE25'!L319)</f>
        <v>30214.02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176265.36</v>
      </c>
      <c r="D119" s="24" t="s">
        <v>289</v>
      </c>
      <c r="E119" s="95">
        <f>+('DOE25'!L282)+('DOE25'!L301)+('DOE25'!L320)</f>
        <v>13086.369999999999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538848.83000000007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362700.41000000003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449750.4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254948.99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426</v>
      </c>
      <c r="D125" s="24" t="s">
        <v>289</v>
      </c>
      <c r="E125" s="95">
        <f>+('DOE25'!L288)+('DOE25'!L307)+('DOE25'!L326)</f>
        <v>2388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158295.9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2279867.2400000002</v>
      </c>
      <c r="D128" s="86">
        <f>SUM(D118:D127)</f>
        <v>158295.9</v>
      </c>
      <c r="E128" s="86">
        <f>SUM(E118:E127)</f>
        <v>45688.39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114001.65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1254.3900000000001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22.07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500</v>
      </c>
    </row>
    <row r="135" spans="1:7" x14ac:dyDescent="0.2">
      <c r="A135" t="s">
        <v>233</v>
      </c>
      <c r="B135" s="32" t="s">
        <v>234</v>
      </c>
      <c r="C135" s="95">
        <f>'DOE25'!L263</f>
        <v>15185.74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100659.40000000001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-659.40000000000873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53937.22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170399.41999999998</v>
      </c>
      <c r="D144" s="141">
        <f>SUM(D130:D143)</f>
        <v>0</v>
      </c>
      <c r="E144" s="141">
        <f>SUM(E130:E143)</f>
        <v>0</v>
      </c>
      <c r="F144" s="141">
        <f>SUM(F130:F143)</f>
        <v>114001.65</v>
      </c>
      <c r="G144" s="141">
        <f>SUM(G130:G143)</f>
        <v>500</v>
      </c>
    </row>
    <row r="145" spans="1:9" ht="12.75" thickTop="1" thickBot="1" x14ac:dyDescent="0.25">
      <c r="A145" s="33" t="s">
        <v>244</v>
      </c>
      <c r="C145" s="86">
        <f>(C115+C128+C144)</f>
        <v>6739224.9299999997</v>
      </c>
      <c r="D145" s="86">
        <f>(D115+D128+D144)</f>
        <v>158295.9</v>
      </c>
      <c r="E145" s="86">
        <f>(E115+E128+E144)</f>
        <v>213760.38</v>
      </c>
      <c r="F145" s="86">
        <f>(F115+F128+F144)</f>
        <v>114001.65</v>
      </c>
      <c r="G145" s="86">
        <f>(G115+G128+G144)</f>
        <v>500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Lincoln-Woodstock Cooperative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20202</v>
      </c>
    </row>
    <row r="5" spans="1:4" x14ac:dyDescent="0.2">
      <c r="B5" t="s">
        <v>704</v>
      </c>
      <c r="C5" s="179">
        <f>IF('DOE25'!G665+'DOE25'!G670=0,0,ROUND('DOE25'!G672,0))</f>
        <v>18839</v>
      </c>
    </row>
    <row r="6" spans="1:4" x14ac:dyDescent="0.2">
      <c r="B6" t="s">
        <v>62</v>
      </c>
      <c r="C6" s="179">
        <f>IF('DOE25'!H665+'DOE25'!H670=0,0,ROUND('DOE25'!H672,0))</f>
        <v>22455</v>
      </c>
    </row>
    <row r="7" spans="1:4" x14ac:dyDescent="0.2">
      <c r="B7" t="s">
        <v>705</v>
      </c>
      <c r="C7" s="179">
        <f>IF('DOE25'!I665+'DOE25'!I670=0,0,ROUND('DOE25'!I672,0))</f>
        <v>20553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3386653</v>
      </c>
      <c r="D10" s="182">
        <f>ROUND((C10/$C$28)*100,1)</f>
        <v>48.8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917379</v>
      </c>
      <c r="D11" s="182">
        <f>ROUND((C11/$C$28)*100,1)</f>
        <v>13.2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29078</v>
      </c>
      <c r="D12" s="182">
        <f>ROUND((C12/$C$28)*100,1)</f>
        <v>0.4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123920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527141</v>
      </c>
      <c r="D15" s="182">
        <f t="shared" ref="D15:D27" si="0">ROUND((C15/$C$28)*100,1)</f>
        <v>7.6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189352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541663</v>
      </c>
      <c r="D17" s="182">
        <f t="shared" si="0"/>
        <v>7.8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362700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449750</v>
      </c>
      <c r="D20" s="182">
        <f t="shared" si="0"/>
        <v>6.5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254949</v>
      </c>
      <c r="D21" s="182">
        <f t="shared" si="0"/>
        <v>3.7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22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53937.22</v>
      </c>
      <c r="D26" s="182">
        <f t="shared" si="0"/>
        <v>0.8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109500.3</v>
      </c>
      <c r="D27" s="182">
        <f t="shared" si="0"/>
        <v>1.6</v>
      </c>
    </row>
    <row r="28" spans="1:4" x14ac:dyDescent="0.2">
      <c r="B28" s="187" t="s">
        <v>723</v>
      </c>
      <c r="C28" s="180">
        <f>SUM(C10:C27)</f>
        <v>6946044.5199999996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114002</v>
      </c>
    </row>
    <row r="30" spans="1:4" x14ac:dyDescent="0.2">
      <c r="B30" s="187" t="s">
        <v>729</v>
      </c>
      <c r="C30" s="180">
        <f>SUM(C28:C29)</f>
        <v>7060046.5199999996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1254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3739889</v>
      </c>
      <c r="D35" s="182">
        <f t="shared" ref="D35:D40" si="1">ROUND((C35/$C$41)*100,1)</f>
        <v>54.4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27529.029999999795</v>
      </c>
      <c r="D36" s="182">
        <f t="shared" si="1"/>
        <v>0.4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2647044</v>
      </c>
      <c r="D37" s="182">
        <f t="shared" si="1"/>
        <v>38.5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59553</v>
      </c>
      <c r="D38" s="182">
        <f t="shared" si="1"/>
        <v>0.9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400656</v>
      </c>
      <c r="D39" s="182">
        <f t="shared" si="1"/>
        <v>5.8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6874671.0299999993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Lincoln-Woodstock Cooperative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>
        <v>5</v>
      </c>
      <c r="B4" s="219">
        <v>2</v>
      </c>
      <c r="C4" s="286" t="s">
        <v>912</v>
      </c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2016-09-16T15:03:21Z</cp:lastPrinted>
  <dcterms:created xsi:type="dcterms:W3CDTF">1997-12-04T19:04:30Z</dcterms:created>
  <dcterms:modified xsi:type="dcterms:W3CDTF">2016-11-30T16:32:52Z</dcterms:modified>
</cp:coreProperties>
</file>