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3" i="1" l="1"/>
  <c r="H54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C119" i="2"/>
  <c r="E119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I460" i="1"/>
  <c r="I461" i="1" s="1"/>
  <c r="H642" i="1" s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J617" i="1" s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0" i="1"/>
  <c r="G641" i="1"/>
  <c r="J641" i="1" s="1"/>
  <c r="H641" i="1"/>
  <c r="G643" i="1"/>
  <c r="G644" i="1"/>
  <c r="G645" i="1"/>
  <c r="H645" i="1"/>
  <c r="G652" i="1"/>
  <c r="H652" i="1"/>
  <c r="G653" i="1"/>
  <c r="H653" i="1"/>
  <c r="G654" i="1"/>
  <c r="H654" i="1"/>
  <c r="H655" i="1"/>
  <c r="F192" i="1"/>
  <c r="D18" i="2"/>
  <c r="C78" i="2"/>
  <c r="G161" i="2"/>
  <c r="D91" i="2"/>
  <c r="G62" i="2"/>
  <c r="D29" i="13"/>
  <c r="C29" i="13" s="1"/>
  <c r="E78" i="2"/>
  <c r="H112" i="1"/>
  <c r="L419" i="1"/>
  <c r="I169" i="1"/>
  <c r="G552" i="1"/>
  <c r="J476" i="1"/>
  <c r="H626" i="1" s="1"/>
  <c r="F476" i="1"/>
  <c r="H622" i="1" s="1"/>
  <c r="G476" i="1"/>
  <c r="H623" i="1" s="1"/>
  <c r="J623" i="1" s="1"/>
  <c r="J140" i="1"/>
  <c r="G22" i="2"/>
  <c r="H140" i="1"/>
  <c r="F22" i="13"/>
  <c r="C22" i="13" s="1"/>
  <c r="H192" i="1"/>
  <c r="L570" i="1"/>
  <c r="G36" i="2"/>
  <c r="H52" i="1" l="1"/>
  <c r="H619" i="1" s="1"/>
  <c r="E118" i="2"/>
  <c r="L328" i="1"/>
  <c r="A31" i="12"/>
  <c r="J645" i="1"/>
  <c r="J651" i="1"/>
  <c r="K598" i="1"/>
  <c r="G647" i="1" s="1"/>
  <c r="J552" i="1"/>
  <c r="I552" i="1"/>
  <c r="I545" i="1"/>
  <c r="J545" i="1"/>
  <c r="K550" i="1"/>
  <c r="K545" i="1"/>
  <c r="L534" i="1"/>
  <c r="H552" i="1"/>
  <c r="H545" i="1"/>
  <c r="G545" i="1"/>
  <c r="K549" i="1"/>
  <c r="F552" i="1"/>
  <c r="J639" i="1"/>
  <c r="L427" i="1"/>
  <c r="J643" i="1"/>
  <c r="L362" i="1"/>
  <c r="H661" i="1"/>
  <c r="G338" i="1"/>
  <c r="G352" i="1" s="1"/>
  <c r="E120" i="2"/>
  <c r="E128" i="2" s="1"/>
  <c r="H338" i="1"/>
  <c r="H352" i="1" s="1"/>
  <c r="C11" i="10"/>
  <c r="L309" i="1"/>
  <c r="F338" i="1"/>
  <c r="F352" i="1" s="1"/>
  <c r="E109" i="2"/>
  <c r="E115" i="2" s="1"/>
  <c r="E8" i="13"/>
  <c r="C8" i="13" s="1"/>
  <c r="J655" i="1"/>
  <c r="L270" i="1"/>
  <c r="D14" i="13"/>
  <c r="C14" i="13" s="1"/>
  <c r="G257" i="1"/>
  <c r="G271" i="1" s="1"/>
  <c r="L247" i="1"/>
  <c r="C16" i="10"/>
  <c r="C112" i="2"/>
  <c r="A40" i="12"/>
  <c r="C12" i="10"/>
  <c r="F257" i="1"/>
  <c r="F271" i="1" s="1"/>
  <c r="C110" i="2"/>
  <c r="J257" i="1"/>
  <c r="J271" i="1" s="1"/>
  <c r="I257" i="1"/>
  <c r="I271" i="1" s="1"/>
  <c r="C109" i="2"/>
  <c r="C15" i="10"/>
  <c r="L229" i="1"/>
  <c r="C121" i="2"/>
  <c r="C21" i="10"/>
  <c r="H257" i="1"/>
  <c r="H271" i="1" s="1"/>
  <c r="E16" i="13"/>
  <c r="C16" i="13" s="1"/>
  <c r="C17" i="10"/>
  <c r="C123" i="2"/>
  <c r="K257" i="1"/>
  <c r="K271" i="1" s="1"/>
  <c r="C20" i="10"/>
  <c r="D12" i="13"/>
  <c r="C12" i="13" s="1"/>
  <c r="C18" i="10"/>
  <c r="D7" i="13"/>
  <c r="C7" i="13" s="1"/>
  <c r="D5" i="13"/>
  <c r="C5" i="13" s="1"/>
  <c r="L211" i="1"/>
  <c r="A13" i="12"/>
  <c r="F112" i="1"/>
  <c r="C70" i="2"/>
  <c r="C81" i="2" s="1"/>
  <c r="C18" i="2"/>
  <c r="J622" i="1"/>
  <c r="G624" i="1"/>
  <c r="J624" i="1"/>
  <c r="E31" i="2"/>
  <c r="D31" i="2"/>
  <c r="E13" i="13"/>
  <c r="C13" i="13" s="1"/>
  <c r="L539" i="1"/>
  <c r="C10" i="10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8" i="2"/>
  <c r="C111" i="2"/>
  <c r="C56" i="2"/>
  <c r="F662" i="1"/>
  <c r="I662" i="1" s="1"/>
  <c r="C13" i="10"/>
  <c r="D145" i="2"/>
  <c r="L290" i="1"/>
  <c r="K503" i="1"/>
  <c r="L382" i="1"/>
  <c r="G636" i="1" s="1"/>
  <c r="J636" i="1" s="1"/>
  <c r="K352" i="1"/>
  <c r="C62" i="2"/>
  <c r="F661" i="1"/>
  <c r="I661" i="1" s="1"/>
  <c r="K551" i="1"/>
  <c r="H25" i="13"/>
  <c r="F169" i="1"/>
  <c r="E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F193" i="1" l="1"/>
  <c r="G627" i="1" s="1"/>
  <c r="J627" i="1" s="1"/>
  <c r="E51" i="2"/>
  <c r="H660" i="1"/>
  <c r="H664" i="1" s="1"/>
  <c r="H672" i="1" s="1"/>
  <c r="C6" i="10" s="1"/>
  <c r="I193" i="1"/>
  <c r="G630" i="1" s="1"/>
  <c r="J630" i="1" s="1"/>
  <c r="J647" i="1"/>
  <c r="K552" i="1"/>
  <c r="E145" i="2"/>
  <c r="D31" i="13"/>
  <c r="C31" i="13" s="1"/>
  <c r="G660" i="1"/>
  <c r="G664" i="1" s="1"/>
  <c r="G667" i="1" s="1"/>
  <c r="L338" i="1"/>
  <c r="L352" i="1" s="1"/>
  <c r="G633" i="1" s="1"/>
  <c r="J633" i="1" s="1"/>
  <c r="C115" i="2"/>
  <c r="L257" i="1"/>
  <c r="L271" i="1" s="1"/>
  <c r="G632" i="1" s="1"/>
  <c r="J632" i="1" s="1"/>
  <c r="F660" i="1"/>
  <c r="C28" i="10"/>
  <c r="D24" i="10" s="1"/>
  <c r="C39" i="10"/>
  <c r="C36" i="10"/>
  <c r="H648" i="1"/>
  <c r="J648" i="1" s="1"/>
  <c r="G104" i="2"/>
  <c r="C63" i="2"/>
  <c r="C104" i="2" s="1"/>
  <c r="C25" i="13"/>
  <c r="H33" i="13"/>
  <c r="C128" i="2"/>
  <c r="L408" i="1"/>
  <c r="L545" i="1"/>
  <c r="E33" i="13"/>
  <c r="D35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G672" i="1"/>
  <c r="C5" i="10" s="1"/>
  <c r="I660" i="1"/>
  <c r="I664" i="1" s="1"/>
  <c r="I672" i="1" s="1"/>
  <c r="C7" i="10" s="1"/>
  <c r="C145" i="2"/>
  <c r="F664" i="1"/>
  <c r="F672" i="1" s="1"/>
  <c r="C4" i="10" s="1"/>
  <c r="D25" i="10"/>
  <c r="D20" i="10"/>
  <c r="D26" i="10"/>
  <c r="D1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G637" i="1"/>
  <c r="J637" i="1" s="1"/>
  <c r="H646" i="1"/>
  <c r="J646" i="1" s="1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<sst xmlns="http://schemas.openxmlformats.org/spreadsheetml/2006/main" count="3958" uniqueCount="916">
  <si>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</si>
  <si>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</si>
  <si>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</si>
  <si>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</si>
  <si>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</si>
  <si>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</si>
  <si>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</si>
  <si>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</si>
  <si>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</si>
  <si>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</si>
  <si>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</si>
  <si>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</si>
  <si>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</si>
  <si>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</si>
  <si>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</si>
  <si>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</si>
  <si>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</si>
  <si>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</si>
  <si>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</si>
  <si>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</si>
  <si>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</si>
  <si>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</si>
  <si>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</si>
  <si>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</si>
  <si>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</si>
  <si>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</si>
  <si>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</si>
  <si>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</si>
  <si>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</si>
  <si>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</si>
  <si>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</si>
  <si>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</si>
  <si>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</si>
  <si>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</si>
  <si>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</si>
  <si>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</si>
  <si>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</si>
  <si>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</si>
  <si>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</si>
  <si>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</si>
  <si>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</si>
  <si>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</si>
  <si>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</si>
  <si>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</si>
  <si>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</si>
  <si>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</si>
  <si>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</si>
  <si>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</si>
  <si>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</si>
  <si>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</si>
  <si>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</si>
  <si>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</si>
  <si>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</si>
  <si>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</si>
  <si>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</si>
  <si>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</si>
  <si>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</si>
  <si>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</si>
  <si>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</si>
  <si>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</si>
  <si>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</si>
  <si>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</si>
  <si>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</si>
  <si>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</si>
  <si>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</si>
  <si>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</si>
  <si>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</si>
  <si>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</si>
  <si>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</si>
  <si>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</si>
  <si>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</si>
  <si>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</si>
  <si>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</si>
  <si>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</si>
  <si>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</si>
  <si>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</si>
  <si>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</si>
  <si>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</si>
  <si>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</si>
  <si>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</si>
  <si>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</si>
  <si>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</si>
  <si>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</si>
  <si>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</si>
  <si>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</si>
  <si>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</si>
  <si>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</si>
  <si>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</si>
  <si>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</si>
  <si>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</si>
  <si>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</si>
  <si>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</si>
  <si>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</si>
  <si>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</si>
  <si>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</si>
  <si>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</si>
  <si>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</si>
  <si>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</si>
  <si>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</si>
  <si>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</si>
  <si>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</si>
  <si>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</si>
  <si>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</si>
  <si>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</si>
  <si>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</si>
  <si>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</si>
  <si>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</si>
  <si>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</si>
  <si>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</si>
  <si>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</si>
  <si>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</si>
  <si>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</si>
  <si>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</si>
  <si>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</si>
  <si>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</si>
  <si>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</si>
  <si>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</si>
  <si>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</si>
  <si>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</si>
  <si>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</si>
  <si>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</si>
  <si>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</si>
  <si>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</si>
  <si>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</si>
  <si>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</si>
  <si>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</si>
  <si>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</si>
  <si>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</si>
  <si>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</si>
  <si>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</si>
  <si>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</si>
  <si>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</si>
  <si>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</si>
  <si>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</si>
  <si>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</si>
  <si>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</si>
  <si>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</si>
  <si>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</si>
  <si>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</si>
  <si>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</si>
  <si>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</si>
  <si>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</si>
  <si>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</si>
  <si>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</si>
  <si>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</si>
  <si>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</si>
  <si>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</si>
  <si>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</si>
  <si>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</si>
  <si>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</si>
  <si>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</si>
  <si>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</si>
  <si>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</si>
  <si>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</si>
  <si>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</si>
  <si>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</si>
  <si>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</si>
  <si>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</si>
  <si>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</si>
  <si>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</si>
  <si>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</si>
  <si>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</si>
  <si>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</si>
  <si>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</si>
  <si>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</si>
  <si>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</si>
  <si>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</si>
  <si>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</si>
  <si>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</si>
  <si>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</si>
  <si>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</si>
  <si>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</si>
  <si>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</si>
  <si>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</si>
  <si>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</si>
  <si>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</si>
  <si>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</si>
  <si>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</si>
  <si>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</si>
  <si>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</si>
  <si>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</si>
  <si>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</si>
  <si>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</si>
  <si>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</si>
  <si>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</si>
  <si>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</si>
  <si>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</si>
  <si>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</si>
  <si>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</si>
  <si>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</si>
  <si>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</si>
  <si>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</si>
  <si>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</si>
  <si>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</si>
  <si>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</si>
  <si>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</si>
  <si>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</si>
  <si>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</si>
  <si>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</si>
  <si>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</si>
  <si>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</si>
  <si>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</si>
  <si>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</si>
  <si>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</si>
  <si>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</si>
  <si>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</si>
  <si>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</si>
  <si>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</si>
  <si>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</si>
  <si>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</si>
  <si>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</si>
  <si>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</si>
  <si>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</si>
  <si>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</si>
  <si>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</si>
  <si>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</si>
  <si>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</si>
  <si>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</si>
  <si>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</si>
  <si>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</si>
  <si>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</si>
  <si>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</si>
  <si>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</si>
  <si>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</si>
  <si>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</si>
  <si>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</si>
  <si>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</si>
  <si>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</si>
  <si>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</si>
  <si>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</si>
  <si>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</si>
  <si>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</si>
  <si>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</si>
  <si>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</si>
  <si>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</si>
  <si>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</si>
  <si>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</si>
  <si>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</si>
  <si>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</si>
  <si>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</si>
  <si>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</si>
  <si>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</si>
  <si>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</si>
  <si>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</si>
  <si>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</si>
  <si>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</si>
  <si>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</si>
  <si>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</si>
  <si>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</si>
  <si>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</si>
  <si>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</si>
  <si>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</si>
  <si>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</si>
  <si>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</si>
  <si>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</si>
  <si>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</si>
  <si>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</si>
  <si>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</si>
  <si>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</si>
  <si>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</si>
  <si>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</si>
  <si>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</si>
  <si>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</si>
  <si>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</si>
  <si>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</si>
  <si>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</si>
  <si>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</si>
  <si>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</si>
  <si>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</si>
  <si>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</si>
  <si>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</si>
  <si>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</si>
  <si>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</si>
  <si>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</si>
  <si>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</si>
  <si>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</si>
  <si>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</si>
  <si>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</si>
  <si>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</si>
  <si>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</si>
  <si>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</si>
  <si>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</si>
  <si>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</si>
  <si>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</si>
  <si>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</si>
  <si>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</si>
  <si>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</si>
  <si>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</si>
  <si>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</si>
  <si>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</si>
  <si>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</si>
  <si>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</si>
  <si>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</si>
  <si>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</si>
  <si>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</si>
  <si>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</si>
  <si>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</si>
  <si>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</si>
  <si>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</si>
  <si>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</si>
  <si>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</si>
  <si>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</si>
  <si>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</si>
  <si>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</si>
  <si>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</si>
  <si>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</si>
  <si>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</si>
  <si>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</si>
  <si>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</si>
  <si>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</si>
  <si>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</si>
  <si>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</si>
  <si>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</si>
  <si>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</si>
  <si>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</si>
  <si>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</si>
  <si>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</si>
  <si>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</si>
  <si>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</si>
  <si>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</si>
  <si>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</si>
  <si>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</si>
  <si>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</si>
  <si>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</si>
  <si>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</si>
  <si>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</si>
  <si>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</si>
  <si>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</si>
  <si>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</si>
  <si>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</si>
  <si>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</si>
  <si>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</si>
  <si>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</si>
  <si>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</si>
  <si>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</si>
  <si>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</si>
  <si>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</si>
  <si>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</si>
  <si>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</si>
  <si>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</si>
  <si>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</si>
  <si>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</si>
  <si>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</si>
  <si>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</si>
  <si>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</si>
  <si>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</si>
  <si>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</si>
  <si>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</si>
  <si>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</si>
  <si>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</si>
  <si>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</si>
  <si>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</si>
  <si>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</si>
  <si>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</si>
  <si>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</si>
  <si>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</si>
  <si>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</si>
  <si>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</si>
  <si>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</si>
  <si>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</si>
  <si>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</si>
  <si>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</si>
  <si>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</si>
  <si>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</si>
  <si>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</si>
  <si>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</si>
  <si>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</si>
  <si>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</si>
  <si>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</si>
  <si>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</si>
  <si>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</si>
  <si>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</si>
  <si>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</si>
  <si>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</si>
  <si>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</si>
  <si>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</si>
  <si>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</si>
  <si>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</si>
  <si>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</si>
  <si>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</si>
  <si>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</si>
  <si>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</si>
  <si>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</si>
  <si>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</si>
  <si>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</si>
  <si>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</si>
  <si>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</si>
  <si>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</si>
  <si>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</si>
  <si>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</si>
  <si>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</si>
  <si>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</si>
  <si>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</si>
  <si>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</si>
  <si>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</si>
  <si>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</si>
  <si>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</si>
  <si>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</si>
  <si>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</si>
  <si>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</si>
  <si>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</si>
  <si>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</si>
  <si>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</si>
  <si>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</si>
  <si>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</si>
  <si>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</si>
  <si>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</si>
  <si>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</si>
  <si>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</si>
  <si>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</si>
  <si>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</si>
  <si>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</si>
  <si>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</si>
  <si>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</si>
  <si>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</si>
  <si>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</si>
  <si>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</si>
  <si>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</si>
  <si>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</si>
  <si>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</si>
  <si>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</si>
  <si>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</si>
  <si>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</si>
  <si>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</si>
  <si>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</si>
  <si>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</si>
  <si>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</si>
  <si>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</si>
  <si>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</si>
  <si>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</si>
  <si>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</si>
  <si>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</si>
  <si>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</si>
  <si>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</si>
  <si>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</si>
  <si>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</si>
  <si>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</si>
  <si>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</si>
  <si>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</si>
  <si>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</si>
  <si>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</si>
  <si>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</si>
  <si>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</si>
  <si>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</si>
  <si>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</si>
  <si>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</si>
  <si>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</si>
  <si>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</si>
  <si>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</si>
  <si>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</si>
  <si>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</si>
  <si>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</si>
  <si>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</si>
  <si>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</si>
  <si>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</si>
  <si>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</si>
  <si>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</si>
  <si>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</si>
  <si>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</si>
  <si>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</si>
  <si>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</si>
  <si>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</si>
  <si>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</si>
  <si>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</si>
  <si>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</si>
  <si>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</si>
  <si>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</si>
  <si>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</si>
  <si>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</si>
  <si>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</si>
  <si>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</si>
  <si>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</si>
  <si>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</si>
  <si>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</si>
  <si>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</si>
  <si>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</si>
  <si>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</si>
  <si>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</si>
  <si>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</si>
  <si>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</si>
  <si>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</si>
  <si>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</si>
  <si>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</si>
  <si>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</si>
  <si>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</si>
  <si>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</si>
  <si>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</si>
  <si>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</si>
  <si>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</si>
  <si>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</si>
  <si>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</si>
  <si>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</si>
  <si>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</si>
  <si>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</si>
  <si>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</si>
  <si>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</si>
  <si>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</si>
  <si>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</si>
  <si>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</si>
  <si>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</si>
  <si>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</si>
  <si>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</si>
  <si>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</si>
  <si>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</si>
  <si>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</si>
  <si>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</si>
  <si>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</si>
  <si>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</si>
  <si>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</si>
  <si>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</si>
  <si>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</si>
  <si>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</si>
  <si>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</si>
  <si>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</si>
  <si>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</si>
  <si>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</si>
  <si>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</si>
  <si>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</si>
  <si>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</si>
  <si>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</si>
  <si>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</si>
  <si>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</si>
  <si>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</si>
  <si>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</si>
  <si>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</si>
  <si>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</si>
  <si>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</si>
  <si>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</si>
  <si>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</si>
  <si>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</si>
  <si>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</si>
  <si>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</si>
  <si>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</si>
  <si>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</si>
  <si>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</si>
  <si>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</si>
  <si>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</si>
  <si>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</si>
  <si>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</si>
  <si>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</si>
  <si>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</si>
  <si>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</si>
  <si>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</si>
  <si>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</si>
  <si>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</si>
  <si>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</si>
  <si>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</si>
  <si>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</si>
  <si>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</si>
  <si>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</si>
  <si>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</si>
  <si>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</si>
  <si>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</si>
  <si>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</si>
  <si>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</si>
  <si>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</si>
  <si>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</si>
  <si>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</si>
  <si>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</si>
  <si>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</si>
  <si>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</si>
  <si>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</si>
  <si>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</si>
  <si>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</si>
  <si>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</si>
  <si>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</si>
  <si>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</si>
  <si>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</si>
  <si>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</si>
  <si>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</si>
  <si>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</si>
  <si>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</si>
  <si>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</si>
  <si>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</si>
  <si>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</si>
  <si>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</si>
  <si>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</si>
  <si>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</si>
  <si>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</si>
  <si>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</si>
  <si>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</si>
  <si>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</si>
  <si>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</si>
  <si>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</si>
  <si>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</si>
  <si>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</si>
  <si>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</si>
  <si>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</si>
  <si>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</si>
  <si>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</si>
  <si>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</si>
  <si>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</si>
  <si>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</si>
  <si>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</si>
  <si>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</si>
  <si>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</si>
  <si>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</si>
  <si>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</si>
  <si>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</si>
  <si>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</si>
  <si>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</si>
  <si>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</si>
  <si>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</si>
  <si>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</si>
  <si>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</si>
  <si>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</si>
  <si>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</si>
  <si>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</si>
  <si>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</si>
  <si>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</si>
  <si>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</si>
  <si>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</si>
  <si>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</si>
  <si>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</si>
  <si>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</si>
  <si>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</si>
  <si>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</si>
  <si>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</si>
  <si>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</si>
  <si>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</si>
  <si>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</si>
  <si>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</si>
  <si>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</si>
  <si>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</si>
  <si>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</si>
  <si>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</si>
  <si>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</si>
  <si>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</si>
  <si>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</si>
  <si>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</si>
  <si>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</si>
  <si>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</si>
  <si>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</si>
  <si>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</si>
  <si>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</si>
  <si>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</si>
  <si>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</si>
  <si>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</si>
  <si>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</si>
  <si>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</si>
  <si>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</si>
  <si>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</si>
  <si>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</si>
  <si>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</si>
  <si>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</si>
  <si>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</si>
  <si>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</si>
  <si>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</si>
  <si>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</si>
  <si>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</si>
  <si>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</si>
  <si>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</si>
  <si>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</si>
  <si>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</si>
  <si>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</si>
  <si>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</si>
  <si>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</si>
  <si>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</si>
  <si>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</si>
  <si>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</si>
  <si>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</si>
  <si>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</si>
  <si>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</si>
  <si>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</si>
  <si>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</si>
  <si>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</si>
  <si>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</si>
  <si>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</si>
  <si>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</si>
  <si>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</si>
  <si>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</si>
  <si>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</si>
  <si>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</si>
  <si>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</si>
  <si>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</si>
  <si>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</si>
  <si>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</si>
  <si>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</si>
  <si>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</si>
  <si>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</si>
  <si>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</si>
  <si>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</si>
  <si>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</si>
  <si>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</si>
  <si>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</si>
  <si>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</si>
  <si>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</si>
  <si>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</si>
  <si>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</si>
  <si>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</si>
  <si>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</si>
  <si>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</si>
  <si>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</si>
  <si>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</si>
  <si>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</si>
  <si>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</si>
  <si>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</si>
  <si>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</si>
  <si>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</si>
  <si>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</si>
  <si>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</si>
  <si>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</si>
  <si>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</si>
  <si>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</si>
  <si>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</si>
  <si>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</si>
  <si>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</si>
  <si>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</si>
  <si>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</si>
  <si>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</si>
  <si>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</si>
  <si>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</si>
  <si>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</si>
  <si>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</si>
  <si>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</si>
  <si>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</si>
  <si>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</si>
  <si>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</si>
  <si>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</si>
  <si>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</si>
  <si>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</si>
  <si>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</si>
  <si>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</si>
  <si>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</si>
  <si>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</si>
  <si>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</si>
  <si>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</si>
  <si>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</si>
  <si>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</si>
  <si>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</si>
  <si>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</si>
  <si>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</si>
  <si>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</si>
  <si>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</si>
  <si>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</si>
  <si>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</si>
  <si>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</si>
  <si>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</si>
  <si>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</si>
  <si>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</si>
  <si>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</si>
  <si>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</si>
  <si>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</si>
  <si>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</si>
  <si>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</si>
  <si>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</si>
  <si>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</si>
  <si>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</si>
  <si>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</si>
  <si>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</si>
  <si>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</si>
  <si>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</si>
  <si>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</si>
  <si>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</si>
  <si>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</si>
  <si>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</si>
  <si>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</si>
  <si>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</si>
  <si>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</si>
  <si>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</si>
  <si>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</si>
  <si>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</si>
  <si>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</si>
  <si>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</si>
  <si>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</si>
  <si>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</si>
  <si>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</si>
  <si>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</si>
  <si>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</si>
  <si>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</si>
  <si>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</si>
  <si>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</si>
  <si>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</si>
  <si>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</si>
  <si>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</si>
  <si>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</si>
  <si>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</si>
  <si>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</si>
  <si>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</si>
  <si>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</si>
  <si>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</si>
  <si>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</si>
  <si>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</si>
  <si>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</si>
  <si>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</si>
  <si>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</si>
  <si>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</si>
  <si>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</si>
  <si>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</si>
  <si>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</si>
  <si>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</si>
  <si>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</si>
  <si>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</si>
  <si>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</si>
  <si>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</si>
  <si>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</si>
  <si>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</si>
  <si>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</si>
  <si>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</si>
  <si>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</si>
  <si>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</si>
  <si>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</si>
  <si>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</si>
  <si>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</si>
  <si>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</si>
  <si>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</si>
  <si>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</si>
  <si>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</si>
  <si>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</si>
  <si>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</si>
  <si>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</si>
  <si>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</si>
  <si>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</si>
  <si>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</si>
  <si>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</si>
  <si>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</si>
  <si>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</si>
  <si>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</si>
  <si>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</si>
  <si>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</si>
  <si>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</si>
  <si>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</si>
  <si>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</si>
  <si>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</si>
  <si>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</si>
  <si>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</si>
  <si>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</si>
  <si>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</si>
  <si>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</si>
  <si>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</si>
  <si>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</si>
  <si>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</si>
  <si>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</si>
  <si>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</si>
  <si>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</si>
  <si>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</si>
  <si>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</si>
  <si>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</si>
  <si>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</si>
  <si>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</si>
  <si>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</si>
  <si>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</si>
  <si>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</si>
  <si>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</si>
  <si>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</si>
  <si>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</si>
  <si>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</si>
  <si>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</si>
  <si>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</si>
  <si>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</si>
  <si>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</si>
  <si>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</si>
  <si>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</si>
  <si>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</si>
  <si>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</si>
  <si>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</si>
  <si>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</si>
  <si>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</si>
  <si>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</si>
  <si>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</si>
  <si>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</si>
  <si>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</si>
  <si>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</si>
  <si>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</si>
  <si>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</si>
  <si>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</si>
  <si>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</si>
  <si>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</si>
  <si>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</si>
  <si>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</si>
  <si>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</si>
  <si>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</si>
  <si>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</si>
  <si>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</si>
  <si>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</si>
  <si>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</si>
  <si>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</si>
  <si>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</si>
  <si>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</si>
  <si>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</si>
  <si>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</si>
  <si>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</si>
  <si>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</si>
  <si>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</si>
  <si>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</si>
  <si>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</si>
  <si>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</si>
  <si>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</si>
  <si>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</si>
  <si>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</si>
  <si>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</si>
  <si>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</si>
  <si>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</si>
  <si>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</si>
  <si>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</si>
  <si>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</si>
  <si>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</si>
  <si>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</si>
  <si>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</si>
  <si>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</si>
  <si>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</si>
  <si>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</si>
  <si>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</si>
  <si>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</si>
  <si>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</si>
  <si>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</si>
  <si>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</si>
  <si>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</si>
  <si>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</si>
  <si>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</si>
  <si>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</si>
  <si>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</si>
  <si>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LISBON REGIONAL SCHOOL DISTRICT</t>
  </si>
  <si>
    <t>$20,000 To Retained Fund Balance</t>
  </si>
  <si>
    <t>$2,924.62 Audit Adj. for FY15-Food Serv. Trnsfer</t>
  </si>
  <si>
    <t xml:space="preserve"> $7,497.82 Audit Adj. for FY15 - AP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</si>
</sst>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2406.9899999999998</v>
      </c>
      <c r="G9" s="18"/>
      <c r="H9" s="18"/>
      <c r="I9" s="18"/>
      <c r="J9" s="67">
        <f>SUM(I439)</f>
        <v>96179.07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99569.84</v>
      </c>
      <c r="G12" s="18">
        <v>-31394.71</v>
      </c>
      <c r="H12" s="18">
        <v>-68175.13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4362.1000000000004</v>
      </c>
      <c r="G13" s="18">
        <v>31394.71</v>
      </c>
      <c r="H13" s="18">
        <v>68438.990000000005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18214.63</v>
      </c>
      <c r="G14" s="18">
        <v>0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124553.56000000001</v>
      </c>
      <c r="G19" s="41">
        <f>SUM(G9:G18)</f>
        <v>0</v>
      </c>
      <c r="H19" s="41">
        <f>SUM(H9:H18)</f>
        <v>263.86000000000058</v>
      </c>
      <c r="I19" s="41">
        <f>SUM(I9:I18)</f>
        <v>0</v>
      </c>
      <c r="J19" s="41">
        <f>SUM(J9:J18)</f>
        <v>96179.07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29792.51</v>
      </c>
      <c r="G24" s="18">
        <v>0</v>
      </c>
      <c r="H24" s="18">
        <v>263.86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29792.51</v>
      </c>
      <c r="G32" s="41">
        <f>SUM(G22:G31)</f>
        <v>0</v>
      </c>
      <c r="H32" s="41">
        <f>SUM(H22:H31)</f>
        <v>263.86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0</v>
      </c>
      <c r="I48" s="18"/>
      <c r="J48" s="13">
        <f>SUM(I459)</f>
        <v>96179.07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10000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14761.05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94761.05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96179.07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124553.56</v>
      </c>
      <c r="G52" s="41">
        <f>G51+G32</f>
        <v>0</v>
      </c>
      <c r="H52" s="41">
        <f>H51+H32</f>
        <v>263.86</v>
      </c>
      <c r="I52" s="41">
        <f>I51+I32</f>
        <v>0</v>
      </c>
      <c r="J52" s="41">
        <f>J51+J32</f>
        <v>96179.07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1953116</v>
      </c>
      <c r="G57" s="18"/>
      <c r="H57" s="18"/>
      <c r="I57" s="18"/>
      <c r="J57" s="18">
        <v>0</v>
      </c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1953116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5700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859668.86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19133.61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884502.47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476.4</v>
      </c>
      <c r="G96" s="18"/>
      <c r="H96" s="18"/>
      <c r="I96" s="18"/>
      <c r="J96" s="18">
        <v>140.49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55837.36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58600.52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17005.91</v>
      </c>
      <c r="G110" s="18">
        <v>5560</v>
      </c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76082.83</v>
      </c>
      <c r="G111" s="41">
        <f>SUM(G96:G110)</f>
        <v>61397.36</v>
      </c>
      <c r="H111" s="41">
        <f>SUM(H96:H110)</f>
        <v>0</v>
      </c>
      <c r="I111" s="41">
        <f>SUM(I96:I110)</f>
        <v>0</v>
      </c>
      <c r="J111" s="41">
        <f>SUM(J96:J110)</f>
        <v>140.49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2913701.3</v>
      </c>
      <c r="G112" s="41">
        <f>G60+G111</f>
        <v>61397.36</v>
      </c>
      <c r="H112" s="41">
        <f>H60+H79+H94+H111</f>
        <v>0</v>
      </c>
      <c r="I112" s="41">
        <f>I60+I111</f>
        <v>0</v>
      </c>
      <c r="J112" s="41">
        <f>J60+J111</f>
        <v>140.49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1885557.05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406315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2291872.0499999998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12938.2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1938.86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12938.2</v>
      </c>
      <c r="G136" s="41">
        <f>SUM(G123:G135)</f>
        <v>1938.86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2304810.25</v>
      </c>
      <c r="G140" s="41">
        <f>G121+SUM(G136:G137)</f>
        <v>1938.86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150198.01999999999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32414.03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2145.7800000000002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86748.91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96471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83142.490000000005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83142.490000000005</v>
      </c>
      <c r="G162" s="41">
        <f>SUM(G150:G161)</f>
        <v>86748.91</v>
      </c>
      <c r="H162" s="41">
        <f>SUM(H150:H161)</f>
        <v>281228.82999999996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759.67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83902.16</v>
      </c>
      <c r="G169" s="41">
        <f>G147+G162+SUM(G163:G168)</f>
        <v>86748.91</v>
      </c>
      <c r="H169" s="41">
        <f>H147+H162+SUM(H163:H168)</f>
        <v>281228.82999999996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2697.24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2697.24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2697.24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5302413.71</v>
      </c>
      <c r="G193" s="47">
        <f>G112+G140+G169+G192</f>
        <v>152782.37</v>
      </c>
      <c r="H193" s="47">
        <f>H112+H140+H169+H192</f>
        <v>281228.82999999996</v>
      </c>
      <c r="I193" s="47">
        <f>I112+I140+I169+I192</f>
        <v>0</v>
      </c>
      <c r="J193" s="47">
        <f>J112+J140+J192</f>
        <v>45140.49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741645.95</v>
      </c>
      <c r="G197" s="18">
        <v>321940.58</v>
      </c>
      <c r="H197" s="18"/>
      <c r="I197" s="18">
        <v>11566.22</v>
      </c>
      <c r="J197" s="18">
        <v>884.66</v>
      </c>
      <c r="K197" s="18"/>
      <c r="L197" s="19">
        <f>SUM(F197:K197)</f>
        <v>1076037.4099999999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191882.12</v>
      </c>
      <c r="G198" s="18">
        <v>99562.92</v>
      </c>
      <c r="H198" s="18">
        <v>71931.34</v>
      </c>
      <c r="I198" s="18">
        <v>242.48</v>
      </c>
      <c r="J198" s="18"/>
      <c r="K198" s="18"/>
      <c r="L198" s="19">
        <f>SUM(F198:K198)</f>
        <v>363618.86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3790.5</v>
      </c>
      <c r="G200" s="18">
        <v>883.93</v>
      </c>
      <c r="H200" s="18"/>
      <c r="I200" s="18"/>
      <c r="J200" s="18"/>
      <c r="K200" s="18"/>
      <c r="L200" s="19">
        <f>SUM(F200:K200)</f>
        <v>4674.43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44463</v>
      </c>
      <c r="G202" s="18">
        <v>23530.76</v>
      </c>
      <c r="H202" s="18">
        <v>106832.19</v>
      </c>
      <c r="I202" s="18">
        <v>673.37</v>
      </c>
      <c r="J202" s="18">
        <v>304.56</v>
      </c>
      <c r="K202" s="18"/>
      <c r="L202" s="19">
        <f t="shared" ref="L202:L208" si="0">SUM(F202:K202)</f>
        <v>175803.88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23109.85</v>
      </c>
      <c r="G203" s="18">
        <v>1872.53</v>
      </c>
      <c r="H203" s="18">
        <v>2302.62</v>
      </c>
      <c r="I203" s="18">
        <v>1070.25</v>
      </c>
      <c r="J203" s="18"/>
      <c r="K203" s="18">
        <v>2547.17</v>
      </c>
      <c r="L203" s="19">
        <f t="shared" si="0"/>
        <v>30902.42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4445</v>
      </c>
      <c r="G204" s="18">
        <v>340.06</v>
      </c>
      <c r="H204" s="18">
        <v>79451.42</v>
      </c>
      <c r="I204" s="18"/>
      <c r="J204" s="18"/>
      <c r="K204" s="18">
        <v>6652.38</v>
      </c>
      <c r="L204" s="19">
        <f t="shared" si="0"/>
        <v>90888.86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73803.839999999997</v>
      </c>
      <c r="G205" s="18">
        <v>34240.370000000003</v>
      </c>
      <c r="H205" s="18">
        <v>12950.92</v>
      </c>
      <c r="I205" s="18">
        <v>5269.18</v>
      </c>
      <c r="J205" s="18">
        <v>279.32</v>
      </c>
      <c r="K205" s="18">
        <v>652.29</v>
      </c>
      <c r="L205" s="19">
        <f t="shared" si="0"/>
        <v>127195.92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40114.269999999997</v>
      </c>
      <c r="G207" s="18">
        <v>12497.53</v>
      </c>
      <c r="H207" s="18">
        <v>21572.9</v>
      </c>
      <c r="I207" s="18">
        <v>54444.34</v>
      </c>
      <c r="J207" s="18">
        <v>1666.14</v>
      </c>
      <c r="K207" s="18"/>
      <c r="L207" s="19">
        <f t="shared" si="0"/>
        <v>130295.18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1855.8</v>
      </c>
      <c r="G208" s="18">
        <v>264.12</v>
      </c>
      <c r="H208" s="18">
        <v>46408.5</v>
      </c>
      <c r="I208" s="18"/>
      <c r="J208" s="18"/>
      <c r="K208" s="18"/>
      <c r="L208" s="19">
        <f t="shared" si="0"/>
        <v>48528.42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346.34</v>
      </c>
      <c r="J209" s="18">
        <v>84.96</v>
      </c>
      <c r="K209" s="18"/>
      <c r="L209" s="19">
        <f>SUM(F209:K209)</f>
        <v>431.29999999999995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1125110.33</v>
      </c>
      <c r="G211" s="41">
        <f t="shared" si="1"/>
        <v>495132.80000000005</v>
      </c>
      <c r="H211" s="41">
        <f t="shared" si="1"/>
        <v>341449.89</v>
      </c>
      <c r="I211" s="41">
        <f t="shared" si="1"/>
        <v>73612.179999999993</v>
      </c>
      <c r="J211" s="41">
        <f t="shared" si="1"/>
        <v>3219.6400000000003</v>
      </c>
      <c r="K211" s="41">
        <f t="shared" si="1"/>
        <v>9851.84</v>
      </c>
      <c r="L211" s="41">
        <f t="shared" si="1"/>
        <v>2048376.68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468083.68</v>
      </c>
      <c r="G215" s="18">
        <v>223371.47</v>
      </c>
      <c r="H215" s="18"/>
      <c r="I215" s="18">
        <v>3584.92</v>
      </c>
      <c r="J215" s="18">
        <v>1897.85</v>
      </c>
      <c r="K215" s="18"/>
      <c r="L215" s="19">
        <f>SUM(F215:K215)</f>
        <v>696937.92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94834.08</v>
      </c>
      <c r="G216" s="18">
        <v>31528.43</v>
      </c>
      <c r="H216" s="18"/>
      <c r="I216" s="18"/>
      <c r="J216" s="18"/>
      <c r="K216" s="18"/>
      <c r="L216" s="19">
        <f>SUM(F216:K216)</f>
        <v>126362.51000000001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43607.5</v>
      </c>
      <c r="G217" s="18">
        <v>17553.28</v>
      </c>
      <c r="H217" s="18"/>
      <c r="I217" s="18">
        <v>1295.6300000000001</v>
      </c>
      <c r="J217" s="18">
        <v>158.24</v>
      </c>
      <c r="K217" s="18"/>
      <c r="L217" s="19">
        <f>SUM(F217:K217)</f>
        <v>62614.649999999994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19802.099999999999</v>
      </c>
      <c r="G218" s="18">
        <v>3288.72</v>
      </c>
      <c r="H218" s="18">
        <v>6640</v>
      </c>
      <c r="I218" s="18">
        <v>321.87</v>
      </c>
      <c r="J218" s="18">
        <v>410</v>
      </c>
      <c r="K218" s="18">
        <v>2130</v>
      </c>
      <c r="L218" s="19">
        <f>SUM(F218:K218)</f>
        <v>32592.69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34212.81</v>
      </c>
      <c r="G220" s="18">
        <v>8780.68</v>
      </c>
      <c r="H220" s="18">
        <v>25551.7</v>
      </c>
      <c r="I220" s="18">
        <v>513.35</v>
      </c>
      <c r="J220" s="18">
        <v>304.56</v>
      </c>
      <c r="K220" s="18"/>
      <c r="L220" s="19">
        <f t="shared" ref="L220:L226" si="2">SUM(F220:K220)</f>
        <v>69363.100000000006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14680.11</v>
      </c>
      <c r="G221" s="18">
        <v>1093.74</v>
      </c>
      <c r="H221" s="18">
        <v>2168.62</v>
      </c>
      <c r="I221" s="18">
        <v>1058.42</v>
      </c>
      <c r="J221" s="18"/>
      <c r="K221" s="18">
        <v>1429.73</v>
      </c>
      <c r="L221" s="19">
        <f t="shared" si="2"/>
        <v>20430.62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2794</v>
      </c>
      <c r="G222" s="18">
        <v>213.75</v>
      </c>
      <c r="H222" s="18">
        <v>49940.89</v>
      </c>
      <c r="I222" s="18"/>
      <c r="J222" s="18"/>
      <c r="K222" s="18">
        <v>4181.5</v>
      </c>
      <c r="L222" s="19">
        <f t="shared" si="2"/>
        <v>57130.14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52454.26</v>
      </c>
      <c r="G223" s="18">
        <v>24221.439999999999</v>
      </c>
      <c r="H223" s="18">
        <v>11754.66</v>
      </c>
      <c r="I223" s="18">
        <v>5573.9</v>
      </c>
      <c r="J223" s="18">
        <v>279.32</v>
      </c>
      <c r="K223" s="18">
        <v>655.66</v>
      </c>
      <c r="L223" s="19">
        <f t="shared" si="2"/>
        <v>94939.24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25302.93</v>
      </c>
      <c r="G225" s="18">
        <v>7832.21</v>
      </c>
      <c r="H225" s="18">
        <v>20329.349999999999</v>
      </c>
      <c r="I225" s="18">
        <v>35483.83</v>
      </c>
      <c r="J225" s="18">
        <v>1665.73</v>
      </c>
      <c r="K225" s="18"/>
      <c r="L225" s="19">
        <f t="shared" si="2"/>
        <v>90614.05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907.28</v>
      </c>
      <c r="G226" s="18">
        <v>166.02</v>
      </c>
      <c r="H226" s="18">
        <v>37990.39</v>
      </c>
      <c r="I226" s="18"/>
      <c r="J226" s="18"/>
      <c r="K226" s="18"/>
      <c r="L226" s="19">
        <f t="shared" si="2"/>
        <v>39063.69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11461.77</v>
      </c>
      <c r="I227" s="18">
        <v>10248.950000000001</v>
      </c>
      <c r="J227" s="18">
        <v>9173.41</v>
      </c>
      <c r="K227" s="18"/>
      <c r="L227" s="19">
        <f>SUM(F227:K227)</f>
        <v>30884.13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756678.75</v>
      </c>
      <c r="G229" s="41">
        <f>SUM(G215:G228)</f>
        <v>318049.74</v>
      </c>
      <c r="H229" s="41">
        <f>SUM(H215:H228)</f>
        <v>165837.37999999998</v>
      </c>
      <c r="I229" s="41">
        <f>SUM(I215:I228)</f>
        <v>58080.869999999995</v>
      </c>
      <c r="J229" s="41">
        <f>SUM(J215:J228)</f>
        <v>13889.11</v>
      </c>
      <c r="K229" s="41">
        <f t="shared" si="3"/>
        <v>8396.89</v>
      </c>
      <c r="L229" s="41">
        <f t="shared" si="3"/>
        <v>1320932.7399999998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521692.52</v>
      </c>
      <c r="G233" s="18">
        <v>210490.43</v>
      </c>
      <c r="H233" s="18">
        <v>1839</v>
      </c>
      <c r="I233" s="18">
        <v>31041.21</v>
      </c>
      <c r="J233" s="18">
        <v>1556.84</v>
      </c>
      <c r="K233" s="18"/>
      <c r="L233" s="19">
        <f>SUM(F233:K233)</f>
        <v>766619.99999999988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86575.48</v>
      </c>
      <c r="G234" s="18">
        <v>45660.2</v>
      </c>
      <c r="H234" s="18">
        <v>22930.71</v>
      </c>
      <c r="I234" s="18"/>
      <c r="J234" s="18"/>
      <c r="K234" s="18"/>
      <c r="L234" s="19">
        <f>SUM(F234:K234)</f>
        <v>155166.38999999998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89150.5</v>
      </c>
      <c r="G235" s="18">
        <v>31562.61</v>
      </c>
      <c r="H235" s="18">
        <v>47156.33</v>
      </c>
      <c r="I235" s="18">
        <v>1411.73</v>
      </c>
      <c r="J235" s="18">
        <v>459</v>
      </c>
      <c r="K235" s="18"/>
      <c r="L235" s="19">
        <f>SUM(F235:K235)</f>
        <v>169740.17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49541.4</v>
      </c>
      <c r="G236" s="18">
        <v>8377.32</v>
      </c>
      <c r="H236" s="18">
        <v>15300</v>
      </c>
      <c r="I236" s="18">
        <v>1620.53</v>
      </c>
      <c r="J236" s="18">
        <v>8964.7199999999993</v>
      </c>
      <c r="K236" s="18">
        <v>2130</v>
      </c>
      <c r="L236" s="19">
        <f>SUM(F236:K236)</f>
        <v>85933.97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55985.599999999999</v>
      </c>
      <c r="G238" s="18">
        <v>14087.19</v>
      </c>
      <c r="H238" s="18">
        <v>50368.15</v>
      </c>
      <c r="I238" s="18">
        <v>501.95</v>
      </c>
      <c r="J238" s="18">
        <v>304.66000000000003</v>
      </c>
      <c r="K238" s="18"/>
      <c r="L238" s="19">
        <f t="shared" ref="L238:L244" si="4">SUM(F238:K238)</f>
        <v>121247.55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11191.82</v>
      </c>
      <c r="G239" s="18">
        <v>905.18</v>
      </c>
      <c r="H239" s="18">
        <v>2168.7600000000002</v>
      </c>
      <c r="I239" s="18">
        <v>1073.93</v>
      </c>
      <c r="J239" s="18"/>
      <c r="K239" s="18">
        <v>5503.07</v>
      </c>
      <c r="L239" s="19">
        <f t="shared" si="4"/>
        <v>20842.760000000002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5461</v>
      </c>
      <c r="G240" s="18">
        <v>417.79</v>
      </c>
      <c r="H240" s="18">
        <v>97611.74</v>
      </c>
      <c r="I240" s="18"/>
      <c r="J240" s="18"/>
      <c r="K240" s="18">
        <v>12172.93</v>
      </c>
      <c r="L240" s="19">
        <f t="shared" si="4"/>
        <v>115663.45999999999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97847.81</v>
      </c>
      <c r="G241" s="18">
        <v>44354.57</v>
      </c>
      <c r="H241" s="18">
        <v>13688.14</v>
      </c>
      <c r="I241" s="18">
        <v>6239.84</v>
      </c>
      <c r="J241" s="18">
        <v>280.27</v>
      </c>
      <c r="K241" s="18">
        <v>3016.36</v>
      </c>
      <c r="L241" s="19">
        <f t="shared" si="4"/>
        <v>165426.99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53553.73</v>
      </c>
      <c r="G243" s="18">
        <v>15716.7</v>
      </c>
      <c r="H243" s="18">
        <v>23363.66</v>
      </c>
      <c r="I243" s="18">
        <v>49245.1</v>
      </c>
      <c r="J243" s="18">
        <v>1665.84</v>
      </c>
      <c r="K243" s="18"/>
      <c r="L243" s="19">
        <f t="shared" si="4"/>
        <v>143545.03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1360.92</v>
      </c>
      <c r="G244" s="18">
        <v>324.49</v>
      </c>
      <c r="H244" s="18">
        <v>105562.95</v>
      </c>
      <c r="I244" s="18">
        <v>1908.48</v>
      </c>
      <c r="J244" s="18"/>
      <c r="K244" s="18"/>
      <c r="L244" s="19">
        <f t="shared" si="4"/>
        <v>109156.84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11461.78</v>
      </c>
      <c r="I245" s="18">
        <v>6753.04</v>
      </c>
      <c r="J245" s="18">
        <v>21417.51</v>
      </c>
      <c r="K245" s="18"/>
      <c r="L245" s="19">
        <f>SUM(F245:K245)</f>
        <v>39632.33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972360.77999999991</v>
      </c>
      <c r="G247" s="41">
        <f t="shared" si="5"/>
        <v>371896.48</v>
      </c>
      <c r="H247" s="41">
        <f t="shared" si="5"/>
        <v>391451.22000000003</v>
      </c>
      <c r="I247" s="41">
        <f t="shared" si="5"/>
        <v>99795.81</v>
      </c>
      <c r="J247" s="41">
        <f t="shared" si="5"/>
        <v>34648.839999999997</v>
      </c>
      <c r="K247" s="41">
        <f t="shared" si="5"/>
        <v>22822.36</v>
      </c>
      <c r="L247" s="41">
        <f t="shared" si="5"/>
        <v>1892975.49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2854149.86</v>
      </c>
      <c r="G257" s="41">
        <f t="shared" si="8"/>
        <v>1185079.02</v>
      </c>
      <c r="H257" s="41">
        <f t="shared" si="8"/>
        <v>898738.49</v>
      </c>
      <c r="I257" s="41">
        <f t="shared" si="8"/>
        <v>231488.86</v>
      </c>
      <c r="J257" s="41">
        <f t="shared" si="8"/>
        <v>51757.59</v>
      </c>
      <c r="K257" s="41">
        <f t="shared" si="8"/>
        <v>41071.089999999997</v>
      </c>
      <c r="L257" s="41">
        <f t="shared" si="8"/>
        <v>5262284.91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2697.24</v>
      </c>
      <c r="L263" s="19">
        <f>SUM(F263:K263)</f>
        <v>2697.24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47697.24</v>
      </c>
      <c r="L270" s="41">
        <f t="shared" si="9"/>
        <v>47697.24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2854149.86</v>
      </c>
      <c r="G271" s="42">
        <f t="shared" si="11"/>
        <v>1185079.02</v>
      </c>
      <c r="H271" s="42">
        <f t="shared" si="11"/>
        <v>898738.49</v>
      </c>
      <c r="I271" s="42">
        <f t="shared" si="11"/>
        <v>231488.86</v>
      </c>
      <c r="J271" s="42">
        <f t="shared" si="11"/>
        <v>51757.59</v>
      </c>
      <c r="K271" s="42">
        <f t="shared" si="11"/>
        <v>88768.329999999987</v>
      </c>
      <c r="L271" s="42">
        <f t="shared" si="11"/>
        <v>5309982.1500000004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31135.03</v>
      </c>
      <c r="G276" s="18">
        <v>19223.830000000002</v>
      </c>
      <c r="H276" s="18"/>
      <c r="I276" s="18"/>
      <c r="J276" s="18"/>
      <c r="K276" s="18"/>
      <c r="L276" s="19">
        <f>SUM(F276:K276)</f>
        <v>50358.86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16024.4</v>
      </c>
      <c r="G277" s="18">
        <v>1982.58</v>
      </c>
      <c r="H277" s="18">
        <v>5469.55</v>
      </c>
      <c r="I277" s="18">
        <v>2831.75</v>
      </c>
      <c r="J277" s="18">
        <v>0</v>
      </c>
      <c r="K277" s="18"/>
      <c r="L277" s="19">
        <f>SUM(F277:K277)</f>
        <v>26308.28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6303</v>
      </c>
      <c r="G281" s="18"/>
      <c r="H281" s="18">
        <v>23225</v>
      </c>
      <c r="I281" s="18">
        <v>0</v>
      </c>
      <c r="J281" s="18"/>
      <c r="K281" s="18"/>
      <c r="L281" s="19">
        <f t="shared" ref="L281:L287" si="12">SUM(F281:K281)</f>
        <v>29528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1083.92</v>
      </c>
      <c r="I282" s="18">
        <v>0</v>
      </c>
      <c r="J282" s="18">
        <v>909.32</v>
      </c>
      <c r="K282" s="18"/>
      <c r="L282" s="19">
        <f t="shared" si="12"/>
        <v>1993.2400000000002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3922.99</v>
      </c>
      <c r="L283" s="19">
        <f t="shared" si="12"/>
        <v>3922.99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53462.43</v>
      </c>
      <c r="G290" s="42">
        <f t="shared" si="13"/>
        <v>21206.410000000003</v>
      </c>
      <c r="H290" s="42">
        <f t="shared" si="13"/>
        <v>29778.47</v>
      </c>
      <c r="I290" s="42">
        <f t="shared" si="13"/>
        <v>2831.75</v>
      </c>
      <c r="J290" s="42">
        <f t="shared" si="13"/>
        <v>909.32</v>
      </c>
      <c r="K290" s="42">
        <f t="shared" si="13"/>
        <v>3922.99</v>
      </c>
      <c r="L290" s="41">
        <f t="shared" si="13"/>
        <v>112111.37000000001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19570.59</v>
      </c>
      <c r="G295" s="18">
        <v>12083.55</v>
      </c>
      <c r="H295" s="18"/>
      <c r="I295" s="18"/>
      <c r="J295" s="18"/>
      <c r="K295" s="18"/>
      <c r="L295" s="19">
        <f>SUM(F295:K295)</f>
        <v>31654.14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10072.48</v>
      </c>
      <c r="G296" s="18">
        <v>1246.19</v>
      </c>
      <c r="H296" s="18">
        <v>1490.1</v>
      </c>
      <c r="I296" s="18">
        <v>0</v>
      </c>
      <c r="J296" s="18">
        <v>3494.35</v>
      </c>
      <c r="K296" s="18"/>
      <c r="L296" s="19">
        <f>SUM(F296:K296)</f>
        <v>16303.12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2055</v>
      </c>
      <c r="J300" s="18"/>
      <c r="K300" s="18"/>
      <c r="L300" s="19">
        <f t="shared" ref="L300:L306" si="14">SUM(F300:K300)</f>
        <v>2055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681.32</v>
      </c>
      <c r="I301" s="18">
        <v>3096.91</v>
      </c>
      <c r="J301" s="18">
        <v>623</v>
      </c>
      <c r="K301" s="18"/>
      <c r="L301" s="19">
        <f t="shared" si="14"/>
        <v>4401.2299999999996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2465.88</v>
      </c>
      <c r="L302" s="19">
        <f t="shared" si="14"/>
        <v>2465.88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29643.07</v>
      </c>
      <c r="G309" s="42">
        <f t="shared" si="15"/>
        <v>13329.74</v>
      </c>
      <c r="H309" s="42">
        <f t="shared" si="15"/>
        <v>2171.42</v>
      </c>
      <c r="I309" s="42">
        <f t="shared" si="15"/>
        <v>5151.91</v>
      </c>
      <c r="J309" s="42">
        <f t="shared" si="15"/>
        <v>4117.3500000000004</v>
      </c>
      <c r="K309" s="42">
        <f t="shared" si="15"/>
        <v>2465.88</v>
      </c>
      <c r="L309" s="41">
        <f t="shared" si="15"/>
        <v>56879.37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38251.599999999999</v>
      </c>
      <c r="G314" s="18">
        <v>23617.85</v>
      </c>
      <c r="H314" s="18"/>
      <c r="I314" s="18"/>
      <c r="J314" s="18"/>
      <c r="K314" s="18"/>
      <c r="L314" s="19">
        <f>SUM(F314:K314)</f>
        <v>61869.45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19687.12</v>
      </c>
      <c r="G315" s="18">
        <v>2435.7399999999998</v>
      </c>
      <c r="H315" s="18">
        <v>13725.64</v>
      </c>
      <c r="I315" s="18">
        <v>0</v>
      </c>
      <c r="J315" s="18">
        <v>3796.27</v>
      </c>
      <c r="K315" s="18"/>
      <c r="L315" s="19">
        <f>SUM(F315:K315)</f>
        <v>39644.769999999997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2426.7600000000002</v>
      </c>
      <c r="J319" s="18"/>
      <c r="K319" s="18"/>
      <c r="L319" s="19">
        <f t="shared" ref="L319:L325" si="16">SUM(F319:K319)</f>
        <v>2426.7600000000002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1331.67</v>
      </c>
      <c r="I320" s="18">
        <v>0</v>
      </c>
      <c r="J320" s="18">
        <v>0</v>
      </c>
      <c r="K320" s="18"/>
      <c r="L320" s="19">
        <f t="shared" si="16"/>
        <v>1331.67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4819.66</v>
      </c>
      <c r="L321" s="19">
        <f t="shared" si="16"/>
        <v>4819.66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57938.720000000001</v>
      </c>
      <c r="G328" s="42">
        <f t="shared" si="17"/>
        <v>26053.589999999997</v>
      </c>
      <c r="H328" s="42">
        <f t="shared" si="17"/>
        <v>15057.31</v>
      </c>
      <c r="I328" s="42">
        <f t="shared" si="17"/>
        <v>2426.7600000000002</v>
      </c>
      <c r="J328" s="42">
        <f t="shared" si="17"/>
        <v>3796.27</v>
      </c>
      <c r="K328" s="42">
        <f t="shared" si="17"/>
        <v>4819.66</v>
      </c>
      <c r="L328" s="41">
        <f t="shared" si="17"/>
        <v>110092.31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1740</v>
      </c>
      <c r="G333" s="18">
        <v>405.78</v>
      </c>
      <c r="H333" s="18"/>
      <c r="I333" s="18"/>
      <c r="J333" s="18"/>
      <c r="K333" s="18"/>
      <c r="L333" s="19">
        <f t="shared" si="18"/>
        <v>2145.7799999999997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1740</v>
      </c>
      <c r="G337" s="41">
        <f t="shared" si="19"/>
        <v>405.78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2145.7799999999997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142784.22</v>
      </c>
      <c r="G338" s="41">
        <f t="shared" si="20"/>
        <v>60995.519999999997</v>
      </c>
      <c r="H338" s="41">
        <f t="shared" si="20"/>
        <v>47007.199999999997</v>
      </c>
      <c r="I338" s="41">
        <f t="shared" si="20"/>
        <v>10410.42</v>
      </c>
      <c r="J338" s="41">
        <f t="shared" si="20"/>
        <v>8822.94</v>
      </c>
      <c r="K338" s="41">
        <f t="shared" si="20"/>
        <v>11208.529999999999</v>
      </c>
      <c r="L338" s="41">
        <f t="shared" si="20"/>
        <v>281228.83000000007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142784.22</v>
      </c>
      <c r="G352" s="41">
        <f>G338</f>
        <v>60995.519999999997</v>
      </c>
      <c r="H352" s="41">
        <f>H338</f>
        <v>47007.199999999997</v>
      </c>
      <c r="I352" s="41">
        <f>I338</f>
        <v>10410.42</v>
      </c>
      <c r="J352" s="41">
        <f>J338</f>
        <v>8822.94</v>
      </c>
      <c r="K352" s="47">
        <f>K338+K351</f>
        <v>11208.529999999999</v>
      </c>
      <c r="L352" s="41">
        <f>L338+L351</f>
        <v>281228.83000000007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51443.56</v>
      </c>
      <c r="I358" s="18"/>
      <c r="J358" s="18">
        <v>2030.27</v>
      </c>
      <c r="K358" s="18"/>
      <c r="L358" s="13">
        <f>SUM(F358:K358)</f>
        <v>53473.829999999994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32335.95</v>
      </c>
      <c r="I359" s="18"/>
      <c r="J359" s="18">
        <v>1276.17</v>
      </c>
      <c r="K359" s="18"/>
      <c r="L359" s="19">
        <f>SUM(F359:K359)</f>
        <v>33612.120000000003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63202.09</v>
      </c>
      <c r="I360" s="18"/>
      <c r="J360" s="18">
        <v>2494.33</v>
      </c>
      <c r="K360" s="18"/>
      <c r="L360" s="19">
        <f>SUM(F360:K360)</f>
        <v>65696.42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146981.59999999998</v>
      </c>
      <c r="I362" s="47">
        <f t="shared" si="22"/>
        <v>0</v>
      </c>
      <c r="J362" s="47">
        <f t="shared" si="22"/>
        <v>5800.77</v>
      </c>
      <c r="K362" s="47">
        <f t="shared" si="22"/>
        <v>0</v>
      </c>
      <c r="L362" s="47">
        <f t="shared" si="22"/>
        <v>152782.37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71.77</v>
      </c>
      <c r="I392" s="18"/>
      <c r="J392" s="24" t="s">
        <v>289</v>
      </c>
      <c r="K392" s="24" t="s">
        <v>289</v>
      </c>
      <c r="L392" s="56">
        <f t="shared" si="25"/>
        <v>71.77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71.77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71.77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45000</v>
      </c>
      <c r="H396" s="18">
        <v>68.72</v>
      </c>
      <c r="I396" s="18"/>
      <c r="J396" s="24" t="s">
        <v>289</v>
      </c>
      <c r="K396" s="24" t="s">
        <v>289</v>
      </c>
      <c r="L396" s="56">
        <f t="shared" si="26"/>
        <v>45068.72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68.72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45068.72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140.49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45140.49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0</v>
      </c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45914</v>
      </c>
      <c r="G439" s="18">
        <v>50265.07</v>
      </c>
      <c r="H439" s="18"/>
      <c r="I439" s="56">
        <f t="shared" ref="I439:I445" si="33">SUM(F439:H439)</f>
        <v>96179.07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45914</v>
      </c>
      <c r="G446" s="13">
        <f>SUM(G439:G445)</f>
        <v>50265.07</v>
      </c>
      <c r="H446" s="13">
        <f>SUM(H439:H445)</f>
        <v>0</v>
      </c>
      <c r="I446" s="13">
        <f>SUM(I439:I445)</f>
        <v>96179.07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45914</v>
      </c>
      <c r="G459" s="18">
        <v>50265.07</v>
      </c>
      <c r="H459" s="18"/>
      <c r="I459" s="56">
        <f t="shared" si="34"/>
        <v>96179.07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45914</v>
      </c>
      <c r="G460" s="83">
        <f>SUM(G454:G459)</f>
        <v>50265.07</v>
      </c>
      <c r="H460" s="83">
        <f>SUM(H454:H459)</f>
        <v>0</v>
      </c>
      <c r="I460" s="83">
        <f>SUM(I454:I459)</f>
        <v>96179.07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45914</v>
      </c>
      <c r="G461" s="42">
        <f>G452+G460</f>
        <v>50265.07</v>
      </c>
      <c r="H461" s="42">
        <f>H452+H460</f>
        <v>0</v>
      </c>
      <c r="I461" s="42">
        <f>I452+I460</f>
        <v>96179.07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5">
        <v>19</v>
      </c>
      <c r="C465" s="111">
        <v>1</v>
      </c>
      <c r="D465" s="2" t="s">
        <v>433</v>
      </c>
      <c r="E465" s="111"/>
      <c r="F465" s="18">
        <v>132751.39000000001</v>
      </c>
      <c r="G465" s="18"/>
      <c r="H465" s="18"/>
      <c r="I465" s="18"/>
      <c r="J465" s="18">
        <v>51038.58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5302413.71</v>
      </c>
      <c r="G468" s="18">
        <v>152782.37</v>
      </c>
      <c r="H468" s="18">
        <v>281228.83</v>
      </c>
      <c r="I468" s="18"/>
      <c r="J468" s="18">
        <v>45140.49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5302413.71</v>
      </c>
      <c r="G470" s="53">
        <f>SUM(G468:G469)</f>
        <v>152782.37</v>
      </c>
      <c r="H470" s="53">
        <f>SUM(H468:H469)</f>
        <v>281228.83</v>
      </c>
      <c r="I470" s="53">
        <f>SUM(I468:I469)</f>
        <v>0</v>
      </c>
      <c r="J470" s="53">
        <f>SUM(J468:J469)</f>
        <v>45140.49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5309982.1500000004</v>
      </c>
      <c r="G472" s="18">
        <v>152782.37</v>
      </c>
      <c r="H472" s="18">
        <v>281228.83</v>
      </c>
      <c r="I472" s="18"/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30421.9</v>
      </c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5340404.0500000007</v>
      </c>
      <c r="G474" s="53">
        <f>SUM(G472:G473)</f>
        <v>152782.37</v>
      </c>
      <c r="H474" s="53">
        <f>SUM(H472:H473)</f>
        <v>281228.83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94761.049999998882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96179.07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2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2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274" t="s">
        <v>914</v>
      </c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/>
      <c r="G498" s="203"/>
      <c r="H498" s="203"/>
      <c r="I498" s="203"/>
      <c r="J498" s="203"/>
      <c r="K498" s="204">
        <f t="shared" si="35"/>
        <v>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/>
      <c r="G501" s="203"/>
      <c r="H501" s="203"/>
      <c r="I501" s="203"/>
      <c r="J501" s="203"/>
      <c r="K501" s="204">
        <f t="shared" si="35"/>
        <v>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2840449</v>
      </c>
      <c r="G513" s="24" t="s">
        <v>289</v>
      </c>
      <c r="H513" s="18">
        <v>2337623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78229.17</v>
      </c>
      <c r="G514" s="24" t="s">
        <v>289</v>
      </c>
      <c r="H514" s="18">
        <v>85543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7731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2918678.17</v>
      </c>
      <c r="G517" s="42">
        <f>SUM(G511:G516)</f>
        <v>0</v>
      </c>
      <c r="H517" s="42">
        <f>SUM(H511:H516)</f>
        <v>2423166</v>
      </c>
      <c r="I517" s="42">
        <f>SUM(I511:I516)</f>
        <v>7731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237666.12</v>
      </c>
      <c r="G521" s="18">
        <v>105227.43</v>
      </c>
      <c r="H521" s="18">
        <v>71931.34</v>
      </c>
      <c r="I521" s="18">
        <v>2997.47</v>
      </c>
      <c r="J521" s="18">
        <v>2551.7199999999998</v>
      </c>
      <c r="K521" s="18"/>
      <c r="L521" s="88">
        <f>SUM(F521:K521)</f>
        <v>420374.07999999996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94834.08</v>
      </c>
      <c r="G522" s="18">
        <v>31528.43</v>
      </c>
      <c r="H522" s="18"/>
      <c r="I522" s="18"/>
      <c r="J522" s="18">
        <v>1603.94</v>
      </c>
      <c r="K522" s="18"/>
      <c r="L522" s="88">
        <f>SUM(F522:K522)</f>
        <v>127966.45000000001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86575.48</v>
      </c>
      <c r="G523" s="18">
        <v>45660.2</v>
      </c>
      <c r="H523" s="18">
        <v>22930.71</v>
      </c>
      <c r="I523" s="18"/>
      <c r="J523" s="18">
        <v>3134.96</v>
      </c>
      <c r="K523" s="18"/>
      <c r="L523" s="88">
        <f>SUM(F523:K523)</f>
        <v>158301.34999999998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419075.68</v>
      </c>
      <c r="G524" s="108">
        <f t="shared" ref="G524:L524" si="36">SUM(G521:G523)</f>
        <v>182416.06</v>
      </c>
      <c r="H524" s="108">
        <f t="shared" si="36"/>
        <v>94862.049999999988</v>
      </c>
      <c r="I524" s="108">
        <f t="shared" si="36"/>
        <v>2997.47</v>
      </c>
      <c r="J524" s="108">
        <f t="shared" si="36"/>
        <v>7290.62</v>
      </c>
      <c r="K524" s="108">
        <f t="shared" si="36"/>
        <v>0</v>
      </c>
      <c r="L524" s="89">
        <f t="shared" si="36"/>
        <v>706641.88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106533.16</v>
      </c>
      <c r="I526" s="18"/>
      <c r="J526" s="18"/>
      <c r="K526" s="18"/>
      <c r="L526" s="88">
        <f>SUM(F526:K526)</f>
        <v>106533.16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15383.7</v>
      </c>
      <c r="I527" s="18"/>
      <c r="J527" s="18"/>
      <c r="K527" s="18"/>
      <c r="L527" s="88">
        <f>SUM(F527:K527)</f>
        <v>15383.7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30068.15</v>
      </c>
      <c r="I528" s="18"/>
      <c r="J528" s="18"/>
      <c r="K528" s="18"/>
      <c r="L528" s="88">
        <f>SUM(F528:K528)</f>
        <v>30068.15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151985.01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151985.01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78248.84</v>
      </c>
      <c r="G531" s="18">
        <v>12634.58</v>
      </c>
      <c r="H531" s="18">
        <v>92402.34</v>
      </c>
      <c r="I531" s="18">
        <v>5269.18</v>
      </c>
      <c r="J531" s="18">
        <v>279.32</v>
      </c>
      <c r="K531" s="18">
        <v>7304.67</v>
      </c>
      <c r="L531" s="88">
        <f>SUM(F531:K531)</f>
        <v>196138.93000000002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52454.26</v>
      </c>
      <c r="G532" s="18">
        <v>7941.74</v>
      </c>
      <c r="H532" s="18">
        <v>61695.55</v>
      </c>
      <c r="I532" s="18">
        <v>5573.9</v>
      </c>
      <c r="J532" s="18">
        <v>279.32</v>
      </c>
      <c r="K532" s="18">
        <v>4837.16</v>
      </c>
      <c r="L532" s="88">
        <f>SUM(F532:K532)</f>
        <v>132781.93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97847.81</v>
      </c>
      <c r="G533" s="18">
        <v>15522.48</v>
      </c>
      <c r="H533" s="18">
        <v>111299.88</v>
      </c>
      <c r="I533" s="18">
        <v>6239.84</v>
      </c>
      <c r="J533" s="18">
        <v>280.27</v>
      </c>
      <c r="K533" s="18">
        <v>15189.29</v>
      </c>
      <c r="L533" s="88">
        <f>SUM(F533:K533)</f>
        <v>246379.56999999998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228550.91</v>
      </c>
      <c r="G534" s="89">
        <f t="shared" ref="G534:L534" si="38">SUM(G531:G533)</f>
        <v>36098.800000000003</v>
      </c>
      <c r="H534" s="89">
        <f t="shared" si="38"/>
        <v>265397.77</v>
      </c>
      <c r="I534" s="89">
        <f t="shared" si="38"/>
        <v>17082.919999999998</v>
      </c>
      <c r="J534" s="89">
        <f t="shared" si="38"/>
        <v>838.91</v>
      </c>
      <c r="K534" s="89">
        <f t="shared" si="38"/>
        <v>27331.120000000003</v>
      </c>
      <c r="L534" s="89">
        <f t="shared" si="38"/>
        <v>575300.42999999993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713.65</v>
      </c>
      <c r="I536" s="18"/>
      <c r="J536" s="18"/>
      <c r="K536" s="18"/>
      <c r="L536" s="88">
        <f>SUM(F536:K536)</f>
        <v>713.65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448.58</v>
      </c>
      <c r="I537" s="18"/>
      <c r="J537" s="18"/>
      <c r="K537" s="18"/>
      <c r="L537" s="88">
        <f>SUM(F537:K537)</f>
        <v>448.58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876.77</v>
      </c>
      <c r="I538" s="18"/>
      <c r="J538" s="18"/>
      <c r="K538" s="18"/>
      <c r="L538" s="88">
        <f>SUM(F538:K538)</f>
        <v>876.77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2039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2039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1443.4</v>
      </c>
      <c r="G541" s="18">
        <v>264.12</v>
      </c>
      <c r="H541" s="18">
        <f>1118.81+412.4</f>
        <v>1531.21</v>
      </c>
      <c r="I541" s="18"/>
      <c r="J541" s="18"/>
      <c r="K541" s="18"/>
      <c r="L541" s="88">
        <f>SUM(F541:K541)</f>
        <v>3238.73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907.28</v>
      </c>
      <c r="G542" s="18">
        <v>166.02</v>
      </c>
      <c r="H542" s="18">
        <v>703.27</v>
      </c>
      <c r="I542" s="18"/>
      <c r="J542" s="18"/>
      <c r="K542" s="18"/>
      <c r="L542" s="88">
        <f>SUM(F542:K542)</f>
        <v>1776.57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1773.32</v>
      </c>
      <c r="G543" s="18">
        <v>324.49</v>
      </c>
      <c r="H543" s="18">
        <f>1374.62-412.4</f>
        <v>962.21999999999991</v>
      </c>
      <c r="I543" s="18">
        <v>1908.48</v>
      </c>
      <c r="J543" s="18"/>
      <c r="K543" s="18"/>
      <c r="L543" s="88">
        <f>SUM(F543:K543)</f>
        <v>4968.51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4124</v>
      </c>
      <c r="G544" s="192">
        <f t="shared" ref="G544:L544" si="40">SUM(G541:G543)</f>
        <v>754.63</v>
      </c>
      <c r="H544" s="192">
        <f t="shared" si="40"/>
        <v>3196.7</v>
      </c>
      <c r="I544" s="192">
        <f t="shared" si="40"/>
        <v>1908.48</v>
      </c>
      <c r="J544" s="192">
        <f t="shared" si="40"/>
        <v>0</v>
      </c>
      <c r="K544" s="192">
        <f t="shared" si="40"/>
        <v>0</v>
      </c>
      <c r="L544" s="192">
        <f t="shared" si="40"/>
        <v>9983.8100000000013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651750.59</v>
      </c>
      <c r="G545" s="89">
        <f t="shared" ref="G545:L545" si="41">G524+G529+G534+G539+G544</f>
        <v>219269.49</v>
      </c>
      <c r="H545" s="89">
        <f t="shared" si="41"/>
        <v>517480.53</v>
      </c>
      <c r="I545" s="89">
        <f t="shared" si="41"/>
        <v>21988.87</v>
      </c>
      <c r="J545" s="89">
        <f t="shared" si="41"/>
        <v>8129.53</v>
      </c>
      <c r="K545" s="89">
        <f t="shared" si="41"/>
        <v>27331.120000000003</v>
      </c>
      <c r="L545" s="89">
        <f t="shared" si="41"/>
        <v>1445950.13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420374.07999999996</v>
      </c>
      <c r="G549" s="87">
        <f>L526</f>
        <v>106533.16</v>
      </c>
      <c r="H549" s="87">
        <f>L531</f>
        <v>196138.93000000002</v>
      </c>
      <c r="I549" s="87">
        <f>L536</f>
        <v>713.65</v>
      </c>
      <c r="J549" s="87">
        <f>L541</f>
        <v>3238.73</v>
      </c>
      <c r="K549" s="87">
        <f>SUM(F549:J549)</f>
        <v>726998.55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127966.45000000001</v>
      </c>
      <c r="G550" s="87">
        <f>L527</f>
        <v>15383.7</v>
      </c>
      <c r="H550" s="87">
        <f>L532</f>
        <v>132781.93</v>
      </c>
      <c r="I550" s="87">
        <f>L537</f>
        <v>448.58</v>
      </c>
      <c r="J550" s="87">
        <f>L542</f>
        <v>1776.57</v>
      </c>
      <c r="K550" s="87">
        <f>SUM(F550:J550)</f>
        <v>278357.23000000004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158301.34999999998</v>
      </c>
      <c r="G551" s="87">
        <f>L528</f>
        <v>30068.15</v>
      </c>
      <c r="H551" s="87">
        <f>L533</f>
        <v>246379.56999999998</v>
      </c>
      <c r="I551" s="87">
        <f>L538</f>
        <v>876.77</v>
      </c>
      <c r="J551" s="87">
        <f>L543</f>
        <v>4968.51</v>
      </c>
      <c r="K551" s="87">
        <f>SUM(F551:J551)</f>
        <v>440594.35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706641.88</v>
      </c>
      <c r="G552" s="89">
        <f t="shared" si="42"/>
        <v>151985.01</v>
      </c>
      <c r="H552" s="89">
        <f t="shared" si="42"/>
        <v>575300.42999999993</v>
      </c>
      <c r="I552" s="89">
        <f t="shared" si="42"/>
        <v>2039</v>
      </c>
      <c r="J552" s="89">
        <f t="shared" si="42"/>
        <v>9983.8100000000013</v>
      </c>
      <c r="K552" s="89">
        <f t="shared" si="42"/>
        <v>1445950.13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3098.95</v>
      </c>
      <c r="G579" s="18"/>
      <c r="H579" s="18"/>
      <c r="I579" s="87">
        <f t="shared" si="47"/>
        <v>3098.95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78316.34</v>
      </c>
      <c r="G582" s="18"/>
      <c r="H582" s="18">
        <v>22930.71</v>
      </c>
      <c r="I582" s="87">
        <f t="shared" si="47"/>
        <v>101247.04999999999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47156.33</v>
      </c>
      <c r="I585" s="87">
        <f t="shared" si="47"/>
        <v>47156.33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40852.35</v>
      </c>
      <c r="I591" s="18">
        <v>25678.62</v>
      </c>
      <c r="J591" s="18">
        <v>50190.03</v>
      </c>
      <c r="K591" s="104">
        <f t="shared" ref="K591:K597" si="48">SUM(H591:J591)</f>
        <v>116721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3238.73</v>
      </c>
      <c r="I592" s="18">
        <v>1776.55</v>
      </c>
      <c r="J592" s="18">
        <v>4968.53</v>
      </c>
      <c r="K592" s="104">
        <f t="shared" si="48"/>
        <v>9983.81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27475</v>
      </c>
      <c r="K593" s="104">
        <f t="shared" si="48"/>
        <v>27475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8819.33</v>
      </c>
      <c r="J594" s="18">
        <v>21071.79</v>
      </c>
      <c r="K594" s="104">
        <f t="shared" si="48"/>
        <v>29891.120000000003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4437.34</v>
      </c>
      <c r="I597" s="18">
        <v>2789.19</v>
      </c>
      <c r="J597" s="18">
        <v>5451.49</v>
      </c>
      <c r="K597" s="104">
        <f t="shared" si="48"/>
        <v>12678.02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48528.42</v>
      </c>
      <c r="I598" s="108">
        <f>SUM(I591:I597)</f>
        <v>39063.69</v>
      </c>
      <c r="J598" s="108">
        <f>SUM(J591:J597)</f>
        <v>109156.84000000001</v>
      </c>
      <c r="K598" s="108">
        <f>SUM(K591:K597)</f>
        <v>196748.94999999998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12042.58</v>
      </c>
      <c r="I604" s="18">
        <v>13889.11</v>
      </c>
      <c r="J604" s="18">
        <v>34648.839999999997</v>
      </c>
      <c r="K604" s="104">
        <f>SUM(H604:J604)</f>
        <v>60580.53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12042.58</v>
      </c>
      <c r="I605" s="108">
        <f>SUM(I602:I604)</f>
        <v>13889.11</v>
      </c>
      <c r="J605" s="108">
        <f>SUM(J602:J604)</f>
        <v>34648.839999999997</v>
      </c>
      <c r="K605" s="108">
        <f>SUM(K602:K604)</f>
        <v>60580.53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3790.5</v>
      </c>
      <c r="G611" s="18">
        <v>883.96</v>
      </c>
      <c r="H611" s="18"/>
      <c r="I611" s="18"/>
      <c r="J611" s="18"/>
      <c r="K611" s="18"/>
      <c r="L611" s="88">
        <f>SUM(F611:K611)</f>
        <v>4674.46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2382.6</v>
      </c>
      <c r="G612" s="18">
        <v>555.63</v>
      </c>
      <c r="H612" s="18"/>
      <c r="I612" s="18"/>
      <c r="J612" s="18"/>
      <c r="K612" s="18"/>
      <c r="L612" s="88">
        <f>SUM(F612:K612)</f>
        <v>2938.23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4656.8999999999996</v>
      </c>
      <c r="G613" s="18">
        <v>1086.02</v>
      </c>
      <c r="H613" s="18"/>
      <c r="I613" s="18"/>
      <c r="J613" s="18"/>
      <c r="K613" s="18"/>
      <c r="L613" s="88">
        <f>SUM(F613:K613)</f>
        <v>5742.92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10830</v>
      </c>
      <c r="G614" s="108">
        <f t="shared" si="49"/>
        <v>2525.61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13355.61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124553.56000000001</v>
      </c>
      <c r="H617" s="109">
        <f>SUM(F52)</f>
        <v>124553.56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263.86000000000058</v>
      </c>
      <c r="H619" s="109">
        <f>SUM(H52)</f>
        <v>263.86</v>
      </c>
      <c r="I619" s="121" t="s">
        <v>893</v>
      </c>
      <c r="J619" s="109">
        <f>G619-H619</f>
        <v>5.6843418860808015E-13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96179.07</v>
      </c>
      <c r="H621" s="109">
        <f>SUM(J52)</f>
        <v>96179.07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94761.05</v>
      </c>
      <c r="H622" s="109">
        <f>F476</f>
        <v>94761.049999998882</v>
      </c>
      <c r="I622" s="121" t="s">
        <v>101</v>
      </c>
      <c r="J622" s="109">
        <f t="shared" ref="J622:J655" si="50">G622-H622</f>
        <v>1.1204974725842476E-9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96179.07</v>
      </c>
      <c r="H626" s="109">
        <f>J476</f>
        <v>96179.07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5302413.71</v>
      </c>
      <c r="H627" s="104">
        <f>SUM(F468)</f>
        <v>5302413.71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152782.37</v>
      </c>
      <c r="H628" s="104">
        <f>SUM(G468)</f>
        <v>152782.37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281228.82999999996</v>
      </c>
      <c r="H629" s="104">
        <f>SUM(H468)</f>
        <v>281228.83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45140.49</v>
      </c>
      <c r="H631" s="104">
        <f>SUM(J468)</f>
        <v>45140.49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5309982.1500000004</v>
      </c>
      <c r="H632" s="104">
        <f>SUM(F472)</f>
        <v>5309982.1500000004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281228.83000000007</v>
      </c>
      <c r="H633" s="104">
        <f>SUM(H472)</f>
        <v>281228.83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152782.37</v>
      </c>
      <c r="H635" s="104">
        <f>SUM(G472)</f>
        <v>152782.37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45140.49</v>
      </c>
      <c r="H637" s="164">
        <f>SUM(J468)</f>
        <v>45140.49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45914</v>
      </c>
      <c r="H639" s="104">
        <f>SUM(F461)</f>
        <v>45914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50265.07</v>
      </c>
      <c r="H640" s="104">
        <f>SUM(G461)</f>
        <v>50265.07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96179.07</v>
      </c>
      <c r="H642" s="104">
        <f>SUM(I461)</f>
        <v>96179.07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140.49</v>
      </c>
      <c r="H644" s="104">
        <f>H408</f>
        <v>140.49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45140.49</v>
      </c>
      <c r="H646" s="104">
        <f>L408</f>
        <v>45140.49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196748.94999999998</v>
      </c>
      <c r="H647" s="104">
        <f>L208+L226+L244</f>
        <v>196748.95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60580.53</v>
      </c>
      <c r="H648" s="104">
        <f>(J257+J338)-(J255+J336)</f>
        <v>60580.53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48528.42</v>
      </c>
      <c r="H649" s="104">
        <f>H598</f>
        <v>48528.42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39063.69</v>
      </c>
      <c r="H650" s="104">
        <f>I598</f>
        <v>39063.69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109156.84</v>
      </c>
      <c r="H651" s="104">
        <f>J598</f>
        <v>109156.84000000001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2697.24</v>
      </c>
      <c r="H652" s="104">
        <f>K263+K345</f>
        <v>2697.24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2213961.88</v>
      </c>
      <c r="G660" s="19">
        <f>(L229+L309+L359)</f>
        <v>1411424.23</v>
      </c>
      <c r="H660" s="19">
        <f>(L247+L328+L360)</f>
        <v>2068764.22</v>
      </c>
      <c r="I660" s="19">
        <f>SUM(F660:H660)</f>
        <v>5694150.3300000001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21489.076200930773</v>
      </c>
      <c r="G661" s="19">
        <f>(L359/IF(SUM(L358:L360)=0,1,SUM(L358:L360))*(SUM(G97:G110)))</f>
        <v>13507.418637393832</v>
      </c>
      <c r="H661" s="19">
        <f>(L360/IF(SUM(L358:L360)=0,1,SUM(L358:L360))*(SUM(G97:G110)))</f>
        <v>26400.865161675392</v>
      </c>
      <c r="I661" s="19">
        <f>SUM(F661:H661)</f>
        <v>61397.36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48528.42</v>
      </c>
      <c r="G662" s="19">
        <f>(L226+L306)-(J226+J306)</f>
        <v>39063.69</v>
      </c>
      <c r="H662" s="19">
        <f>(L244+L325)-(J244+J325)</f>
        <v>109156.84</v>
      </c>
      <c r="I662" s="19">
        <f>SUM(F662:H662)</f>
        <v>196748.95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98132.33</v>
      </c>
      <c r="G663" s="198">
        <f>SUM(G575:G587)+SUM(I602:I604)+L612</f>
        <v>16827.34</v>
      </c>
      <c r="H663" s="198">
        <f>SUM(H575:H587)+SUM(J602:J604)+L613</f>
        <v>110478.8</v>
      </c>
      <c r="I663" s="19">
        <f>SUM(F663:H663)</f>
        <v>225438.47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2045812.053799069</v>
      </c>
      <c r="G664" s="19">
        <f>G660-SUM(G661:G663)</f>
        <v>1342025.7813626062</v>
      </c>
      <c r="H664" s="19">
        <f>H660-SUM(H661:H663)</f>
        <v>1822727.7148383246</v>
      </c>
      <c r="I664" s="19">
        <f>I660-SUM(I661:I663)</f>
        <v>5210565.55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161.41</v>
      </c>
      <c r="G665" s="247">
        <v>57.06</v>
      </c>
      <c r="H665" s="247">
        <v>115.25</v>
      </c>
      <c r="I665" s="19">
        <f>SUM(F665:H665)</f>
        <v>333.72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12674.63</v>
      </c>
      <c r="G667" s="19">
        <f>ROUND(G664/G665,2)</f>
        <v>23519.55</v>
      </c>
      <c r="H667" s="19">
        <f>ROUND(H664/H665,2)</f>
        <v>15815.42</v>
      </c>
      <c r="I667" s="19">
        <f>ROUND(I664/I665,2)</f>
        <v>15613.58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-10.17</v>
      </c>
      <c r="I670" s="19">
        <f>SUM(F670:H670)</f>
        <v>-10.17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12674.63</v>
      </c>
      <c r="G672" s="19">
        <f>ROUND((G664+G669)/(G665+G670),2)</f>
        <v>23519.55</v>
      </c>
      <c r="H672" s="19">
        <f>ROUND((H664+H669)/(H665+H670),2)</f>
        <v>17346.099999999999</v>
      </c>
      <c r="I672" s="19">
        <f>ROUND((I664+I669)/(I665+I670),2)</f>
        <v>16104.36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5" zoomScale="125" zoomScaleNormal="125" workbookViewId="0">
      <selection activeCell="A44" sqref="A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LISBON REGIONAL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8" t="s">
        <v>784</v>
      </c>
      <c r="B3" s="278"/>
      <c r="C3" s="278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77" t="s">
        <v>783</v>
      </c>
      <c r="C6" s="277"/>
    </row>
    <row r="7" spans="1:3" x14ac:dyDescent="0.2">
      <c r="A7" s="238" t="s">
        <v>786</v>
      </c>
      <c r="B7" s="275" t="s">
        <v>782</v>
      </c>
      <c r="C7" s="276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1820379.37</v>
      </c>
      <c r="C9" s="228">
        <f>'DOE25'!G197+'DOE25'!G215+'DOE25'!G233+'DOE25'!G276+'DOE25'!G295+'DOE25'!G314</f>
        <v>810727.71</v>
      </c>
    </row>
    <row r="10" spans="1:3" x14ac:dyDescent="0.2">
      <c r="A10" t="s">
        <v>779</v>
      </c>
      <c r="B10" s="239">
        <v>1679398.15</v>
      </c>
      <c r="C10" s="239">
        <v>728663.33</v>
      </c>
    </row>
    <row r="11" spans="1:3" x14ac:dyDescent="0.2">
      <c r="A11" t="s">
        <v>780</v>
      </c>
      <c r="B11" s="239">
        <v>106636.22</v>
      </c>
      <c r="C11" s="239">
        <v>79436.990000000005</v>
      </c>
    </row>
    <row r="12" spans="1:3" x14ac:dyDescent="0.2">
      <c r="A12" t="s">
        <v>781</v>
      </c>
      <c r="B12" s="239">
        <v>34345</v>
      </c>
      <c r="C12" s="239">
        <v>2627.39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1820379.3699999999</v>
      </c>
      <c r="C13" s="230">
        <f>SUM(C10:C12)</f>
        <v>810727.71</v>
      </c>
    </row>
    <row r="14" spans="1:3" x14ac:dyDescent="0.2">
      <c r="B14" s="229"/>
      <c r="C14" s="229"/>
    </row>
    <row r="15" spans="1:3" x14ac:dyDescent="0.2">
      <c r="B15" s="277" t="s">
        <v>783</v>
      </c>
      <c r="C15" s="277"/>
    </row>
    <row r="16" spans="1:3" x14ac:dyDescent="0.2">
      <c r="A16" s="238" t="s">
        <v>787</v>
      </c>
      <c r="B16" s="275" t="s">
        <v>707</v>
      </c>
      <c r="C16" s="276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419075.68</v>
      </c>
      <c r="C18" s="228">
        <f>'DOE25'!G198+'DOE25'!G216+'DOE25'!G234+'DOE25'!G277+'DOE25'!G296+'DOE25'!G315</f>
        <v>182416.05999999997</v>
      </c>
    </row>
    <row r="19" spans="1:3" x14ac:dyDescent="0.2">
      <c r="A19" t="s">
        <v>779</v>
      </c>
      <c r="B19" s="239">
        <v>206763.56</v>
      </c>
      <c r="C19" s="239">
        <v>84678.21</v>
      </c>
    </row>
    <row r="20" spans="1:3" x14ac:dyDescent="0.2">
      <c r="A20" t="s">
        <v>780</v>
      </c>
      <c r="B20" s="239">
        <v>212312.12</v>
      </c>
      <c r="C20" s="239">
        <v>97737.85</v>
      </c>
    </row>
    <row r="21" spans="1:3" x14ac:dyDescent="0.2">
      <c r="A21" t="s">
        <v>781</v>
      </c>
      <c r="B21" s="239"/>
      <c r="C21" s="239"/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419075.68</v>
      </c>
      <c r="C22" s="230">
        <f>SUM(C19:C21)</f>
        <v>182416.06</v>
      </c>
    </row>
    <row r="23" spans="1:3" x14ac:dyDescent="0.2">
      <c r="B23" s="229"/>
      <c r="C23" s="229"/>
    </row>
    <row r="24" spans="1:3" x14ac:dyDescent="0.2">
      <c r="B24" s="277" t="s">
        <v>783</v>
      </c>
      <c r="C24" s="277"/>
    </row>
    <row r="25" spans="1:3" x14ac:dyDescent="0.2">
      <c r="A25" s="238" t="s">
        <v>788</v>
      </c>
      <c r="B25" s="275" t="s">
        <v>708</v>
      </c>
      <c r="C25" s="276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132758</v>
      </c>
      <c r="C27" s="233">
        <f>'DOE25'!G199+'DOE25'!G217+'DOE25'!G235+'DOE25'!G278+'DOE25'!G297+'DOE25'!G316</f>
        <v>49115.89</v>
      </c>
    </row>
    <row r="28" spans="1:3" x14ac:dyDescent="0.2">
      <c r="A28" t="s">
        <v>779</v>
      </c>
      <c r="B28" s="239">
        <v>132758</v>
      </c>
      <c r="C28" s="239">
        <v>49115.89</v>
      </c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132758</v>
      </c>
      <c r="C31" s="230">
        <f>SUM(C28:C30)</f>
        <v>49115.89</v>
      </c>
    </row>
    <row r="33" spans="1:3" x14ac:dyDescent="0.2">
      <c r="B33" s="277" t="s">
        <v>783</v>
      </c>
      <c r="C33" s="277"/>
    </row>
    <row r="34" spans="1:3" x14ac:dyDescent="0.2">
      <c r="A34" s="238" t="s">
        <v>789</v>
      </c>
      <c r="B34" s="275" t="s">
        <v>709</v>
      </c>
      <c r="C34" s="276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73134</v>
      </c>
      <c r="C36" s="234">
        <f>'DOE25'!G200+'DOE25'!G218+'DOE25'!G236+'DOE25'!G279+'DOE25'!G298+'DOE25'!G317</f>
        <v>12549.97</v>
      </c>
    </row>
    <row r="37" spans="1:3" x14ac:dyDescent="0.2">
      <c r="A37" t="s">
        <v>779</v>
      </c>
      <c r="B37" s="239">
        <v>66225</v>
      </c>
      <c r="C37" s="239">
        <v>11866.44</v>
      </c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v>6909</v>
      </c>
      <c r="C39" s="239">
        <v>683.53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73134</v>
      </c>
      <c r="C40" s="230">
        <f>SUM(C37:C39)</f>
        <v>12549.970000000001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5" sqref="D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0"/>
    </row>
    <row r="2" spans="1:9" x14ac:dyDescent="0.2">
      <c r="A2" s="33" t="s">
        <v>717</v>
      </c>
      <c r="B2" s="264" t="str">
        <f>'DOE25'!A2</f>
        <v>LISBON REGIONAL SCHOOL DISTRICT</v>
      </c>
      <c r="C2" s="180"/>
      <c r="D2" s="180" t="s">
        <v>792</v>
      </c>
      <c r="E2" s="180" t="s">
        <v>794</v>
      </c>
      <c r="F2" s="279" t="s">
        <v>821</v>
      </c>
      <c r="G2" s="280"/>
      <c r="H2" s="281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3540298.9999999995</v>
      </c>
      <c r="D5" s="20">
        <f>SUM('DOE25'!L197:L200)+SUM('DOE25'!L215:L218)+SUM('DOE25'!L233:L236)-F5-G5</f>
        <v>3521707.6899999995</v>
      </c>
      <c r="E5" s="242"/>
      <c r="F5" s="254">
        <f>SUM('DOE25'!J197:J200)+SUM('DOE25'!J215:J218)+SUM('DOE25'!J233:J236)</f>
        <v>14331.31</v>
      </c>
      <c r="G5" s="53">
        <f>SUM('DOE25'!K197:K200)+SUM('DOE25'!K215:K218)+SUM('DOE25'!K233:K236)</f>
        <v>4260</v>
      </c>
      <c r="H5" s="258"/>
    </row>
    <row r="6" spans="1:9" x14ac:dyDescent="0.2">
      <c r="A6" s="32">
        <v>2100</v>
      </c>
      <c r="B6" t="s">
        <v>801</v>
      </c>
      <c r="C6" s="244">
        <f t="shared" si="0"/>
        <v>366414.53</v>
      </c>
      <c r="D6" s="20">
        <f>'DOE25'!L202+'DOE25'!L220+'DOE25'!L238-F6-G6</f>
        <v>365500.75</v>
      </c>
      <c r="E6" s="242"/>
      <c r="F6" s="254">
        <f>'DOE25'!J202+'DOE25'!J220+'DOE25'!J238</f>
        <v>913.78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72175.799999999988</v>
      </c>
      <c r="D7" s="20">
        <f>'DOE25'!L203+'DOE25'!L221+'DOE25'!L239-F7-G7</f>
        <v>62695.829999999987</v>
      </c>
      <c r="E7" s="242"/>
      <c r="F7" s="254">
        <f>'DOE25'!J203+'DOE25'!J221+'DOE25'!J239</f>
        <v>0</v>
      </c>
      <c r="G7" s="53">
        <f>'DOE25'!K203+'DOE25'!K221+'DOE25'!K239</f>
        <v>9479.9699999999993</v>
      </c>
      <c r="H7" s="258"/>
    </row>
    <row r="8" spans="1:9" x14ac:dyDescent="0.2">
      <c r="A8" s="32">
        <v>2300</v>
      </c>
      <c r="B8" t="s">
        <v>802</v>
      </c>
      <c r="C8" s="244">
        <f t="shared" si="0"/>
        <v>168841.30999999994</v>
      </c>
      <c r="D8" s="242"/>
      <c r="E8" s="20">
        <f>'DOE25'!L204+'DOE25'!L222+'DOE25'!L240-F8-G8-D9-D11</f>
        <v>145834.49999999994</v>
      </c>
      <c r="F8" s="254">
        <f>'DOE25'!J204+'DOE25'!J222+'DOE25'!J240</f>
        <v>0</v>
      </c>
      <c r="G8" s="53">
        <f>'DOE25'!K204+'DOE25'!K222+'DOE25'!K240</f>
        <v>23006.81</v>
      </c>
      <c r="H8" s="258"/>
    </row>
    <row r="9" spans="1:9" x14ac:dyDescent="0.2">
      <c r="A9" s="32">
        <v>2310</v>
      </c>
      <c r="B9" t="s">
        <v>818</v>
      </c>
      <c r="C9" s="244">
        <f t="shared" si="0"/>
        <v>59556.480000000003</v>
      </c>
      <c r="D9" s="243">
        <v>59556.480000000003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9510</v>
      </c>
      <c r="D10" s="242"/>
      <c r="E10" s="243">
        <v>9510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35284.67</v>
      </c>
      <c r="D11" s="243">
        <v>35284.67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387562.15</v>
      </c>
      <c r="D12" s="20">
        <f>'DOE25'!L205+'DOE25'!L223+'DOE25'!L241-F12-G12</f>
        <v>382398.93000000005</v>
      </c>
      <c r="E12" s="242"/>
      <c r="F12" s="254">
        <f>'DOE25'!J205+'DOE25'!J223+'DOE25'!J241</f>
        <v>838.91</v>
      </c>
      <c r="G12" s="53">
        <f>'DOE25'!K205+'DOE25'!K223+'DOE25'!K241</f>
        <v>4324.3099999999995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364454.26</v>
      </c>
      <c r="D14" s="20">
        <f>'DOE25'!L207+'DOE25'!L225+'DOE25'!L243-F14-G14</f>
        <v>359456.55</v>
      </c>
      <c r="E14" s="242"/>
      <c r="F14" s="254">
        <f>'DOE25'!J207+'DOE25'!J225+'DOE25'!J243</f>
        <v>4997.71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196748.95</v>
      </c>
      <c r="D15" s="20">
        <f>'DOE25'!L208+'DOE25'!L226+'DOE25'!L244-F15-G15</f>
        <v>196748.95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70947.760000000009</v>
      </c>
      <c r="D16" s="242"/>
      <c r="E16" s="20">
        <f>'DOE25'!L209+'DOE25'!L227+'DOE25'!L245-F16-G16</f>
        <v>40271.880000000012</v>
      </c>
      <c r="F16" s="254">
        <f>'DOE25'!J209+'DOE25'!J227+'DOE25'!J245</f>
        <v>30675.879999999997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152782.37</v>
      </c>
      <c r="D29" s="20">
        <f>'DOE25'!L358+'DOE25'!L359+'DOE25'!L360-'DOE25'!I367-F29-G29</f>
        <v>146981.6</v>
      </c>
      <c r="E29" s="242"/>
      <c r="F29" s="254">
        <f>'DOE25'!J358+'DOE25'!J359+'DOE25'!J360</f>
        <v>5800.77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281228.83000000007</v>
      </c>
      <c r="D31" s="20">
        <f>'DOE25'!L290+'DOE25'!L309+'DOE25'!L328+'DOE25'!L333+'DOE25'!L334+'DOE25'!L335-F31-G31</f>
        <v>261197.36000000007</v>
      </c>
      <c r="E31" s="242"/>
      <c r="F31" s="254">
        <f>'DOE25'!J290+'DOE25'!J309+'DOE25'!J328+'DOE25'!J333+'DOE25'!J334+'DOE25'!J335</f>
        <v>8822.94</v>
      </c>
      <c r="G31" s="53">
        <f>'DOE25'!K290+'DOE25'!K309+'DOE25'!K328+'DOE25'!K333+'DOE25'!K334+'DOE25'!K335</f>
        <v>11208.529999999999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5391528.8099999996</v>
      </c>
      <c r="E33" s="245">
        <f>SUM(E5:E31)</f>
        <v>195616.37999999995</v>
      </c>
      <c r="F33" s="245">
        <f>SUM(F5:F31)</f>
        <v>66381.3</v>
      </c>
      <c r="G33" s="245">
        <f>SUM(G5:G31)</f>
        <v>52279.619999999995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195616.37999999995</v>
      </c>
      <c r="E35" s="248"/>
    </row>
    <row r="36" spans="2:8" ht="12" thickTop="1" x14ac:dyDescent="0.2">
      <c r="B36" t="s">
        <v>815</v>
      </c>
      <c r="D36" s="20">
        <f>D33</f>
        <v>5391528.8099999996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2406.9899999999998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96179.07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99569.84</v>
      </c>
      <c r="D11" s="95">
        <f>'DOE25'!G12</f>
        <v>-31394.71</v>
      </c>
      <c r="E11" s="95">
        <f>'DOE25'!H12</f>
        <v>-68175.13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4362.1000000000004</v>
      </c>
      <c r="D12" s="95">
        <f>'DOE25'!G13</f>
        <v>31394.71</v>
      </c>
      <c r="E12" s="95">
        <f>'DOE25'!H13</f>
        <v>68438.990000000005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18214.63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124553.56000000001</v>
      </c>
      <c r="D18" s="41">
        <f>SUM(D8:D17)</f>
        <v>0</v>
      </c>
      <c r="E18" s="41">
        <f>SUM(E8:E17)</f>
        <v>263.86000000000058</v>
      </c>
      <c r="F18" s="41">
        <f>SUM(F8:F17)</f>
        <v>0</v>
      </c>
      <c r="G18" s="41">
        <f>SUM(G8:G17)</f>
        <v>96179.07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29792.51</v>
      </c>
      <c r="D23" s="95">
        <f>'DOE25'!G24</f>
        <v>0</v>
      </c>
      <c r="E23" s="95">
        <f>'DOE25'!H24</f>
        <v>263.86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29792.51</v>
      </c>
      <c r="D31" s="41">
        <f>SUM(D21:D30)</f>
        <v>0</v>
      </c>
      <c r="E31" s="41">
        <f>SUM(E21:E30)</f>
        <v>263.86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96179.07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14761.05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94761.05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96179.07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124553.56</v>
      </c>
      <c r="D51" s="41">
        <f>D50+D31</f>
        <v>0</v>
      </c>
      <c r="E51" s="41">
        <f>E50+E31</f>
        <v>263.86</v>
      </c>
      <c r="F51" s="41">
        <f>F50+F31</f>
        <v>0</v>
      </c>
      <c r="G51" s="41">
        <f>G50+G31</f>
        <v>96179.07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1953116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884502.47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476.4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140.49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55837.36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75606.429999999993</v>
      </c>
      <c r="D61" s="95">
        <f>SUM('DOE25'!G98:G110)</f>
        <v>5560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960585.3</v>
      </c>
      <c r="D62" s="130">
        <f>SUM(D57:D61)</f>
        <v>61397.36</v>
      </c>
      <c r="E62" s="130">
        <f>SUM(E57:E61)</f>
        <v>0</v>
      </c>
      <c r="F62" s="130">
        <f>SUM(F57:F61)</f>
        <v>0</v>
      </c>
      <c r="G62" s="130">
        <f>SUM(G57:G61)</f>
        <v>140.49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2913701.3</v>
      </c>
      <c r="D63" s="22">
        <f>D56+D62</f>
        <v>61397.36</v>
      </c>
      <c r="E63" s="22">
        <f>E56+E62</f>
        <v>0</v>
      </c>
      <c r="F63" s="22">
        <f>F56+F62</f>
        <v>0</v>
      </c>
      <c r="G63" s="22">
        <f>G56+G62</f>
        <v>140.49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1885557.05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406315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2291872.0499999998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12938.2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1938.86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12938.2</v>
      </c>
      <c r="D78" s="130">
        <f>SUM(D72:D77)</f>
        <v>1938.86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2304810.25</v>
      </c>
      <c r="D81" s="130">
        <f>SUM(D79:D80)+D78+D70</f>
        <v>1938.86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83142.490000000005</v>
      </c>
      <c r="D88" s="95">
        <f>SUM('DOE25'!G153:G161)</f>
        <v>86748.91</v>
      </c>
      <c r="E88" s="95">
        <f>SUM('DOE25'!H153:H161)</f>
        <v>281228.82999999996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759.67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83902.16</v>
      </c>
      <c r="D91" s="131">
        <f>SUM(D85:D90)</f>
        <v>86748.91</v>
      </c>
      <c r="E91" s="131">
        <f>SUM(E85:E90)</f>
        <v>281228.82999999996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2697.24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2697.24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5302413.71</v>
      </c>
      <c r="D104" s="86">
        <f>D63+D81+D91+D103</f>
        <v>152782.37</v>
      </c>
      <c r="E104" s="86">
        <f>E63+E81+E91+E103</f>
        <v>281228.82999999996</v>
      </c>
      <c r="F104" s="86">
        <f>F63+F81+F91+F103</f>
        <v>0</v>
      </c>
      <c r="G104" s="86">
        <f>G63+G81+G103</f>
        <v>45140.49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2539595.33</v>
      </c>
      <c r="D109" s="24" t="s">
        <v>289</v>
      </c>
      <c r="E109" s="95">
        <f>('DOE25'!L276)+('DOE25'!L295)+('DOE25'!L314)</f>
        <v>143882.45000000001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645147.76</v>
      </c>
      <c r="D110" s="24" t="s">
        <v>289</v>
      </c>
      <c r="E110" s="95">
        <f>('DOE25'!L277)+('DOE25'!L296)+('DOE25'!L315)</f>
        <v>82256.17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232354.82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123201.09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2145.7799999999997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3540298.9999999995</v>
      </c>
      <c r="D115" s="86">
        <f>SUM(D109:D114)</f>
        <v>0</v>
      </c>
      <c r="E115" s="86">
        <f>SUM(E109:E114)</f>
        <v>228284.4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366414.53</v>
      </c>
      <c r="D118" s="24" t="s">
        <v>289</v>
      </c>
      <c r="E118" s="95">
        <f>+('DOE25'!L281)+('DOE25'!L300)+('DOE25'!L319)</f>
        <v>34009.760000000002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72175.799999999988</v>
      </c>
      <c r="D119" s="24" t="s">
        <v>289</v>
      </c>
      <c r="E119" s="95">
        <f>+('DOE25'!L282)+('DOE25'!L301)+('DOE25'!L320)</f>
        <v>7726.1399999999994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263682.45999999996</v>
      </c>
      <c r="D120" s="24" t="s">
        <v>289</v>
      </c>
      <c r="E120" s="95">
        <f>+('DOE25'!L283)+('DOE25'!L302)+('DOE25'!L321)</f>
        <v>11208.529999999999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387562.15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364454.26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196748.95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70947.760000000009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152782.37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1721985.91</v>
      </c>
      <c r="D128" s="86">
        <f>SUM(D118:D127)</f>
        <v>152782.37</v>
      </c>
      <c r="E128" s="86">
        <f>SUM(E118:E127)</f>
        <v>52944.43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2697.24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71.77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45068.72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-140.48999999999796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47697.240000000005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5309982.1499999994</v>
      </c>
      <c r="D145" s="86">
        <f>(D115+D128+D144)</f>
        <v>152782.37</v>
      </c>
      <c r="E145" s="86">
        <f>(E115+E128+E144)</f>
        <v>281228.83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6" t="s">
        <v>717</v>
      </c>
      <c r="B2" s="185" t="str">
        <f>'DOE25'!A2</f>
        <v>LISBON REGIONAL SCHOOL DISTRICT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12675</v>
      </c>
    </row>
    <row r="5" spans="1:4" x14ac:dyDescent="0.2">
      <c r="B5" t="s">
        <v>704</v>
      </c>
      <c r="C5" s="178">
        <f>IF('DOE25'!G665+'DOE25'!G670=0,0,ROUND('DOE25'!G672,0))</f>
        <v>23520</v>
      </c>
    </row>
    <row r="6" spans="1:4" x14ac:dyDescent="0.2">
      <c r="B6" t="s">
        <v>62</v>
      </c>
      <c r="C6" s="178">
        <f>IF('DOE25'!H665+'DOE25'!H670=0,0,ROUND('DOE25'!H672,0))</f>
        <v>17346</v>
      </c>
    </row>
    <row r="7" spans="1:4" x14ac:dyDescent="0.2">
      <c r="B7" t="s">
        <v>705</v>
      </c>
      <c r="C7" s="178">
        <f>IF('DOE25'!I665+'DOE25'!I670=0,0,ROUND('DOE25'!I672,0))</f>
        <v>16104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2683478</v>
      </c>
      <c r="D10" s="181">
        <f>ROUND((C10/$C$28)*100,1)</f>
        <v>47.6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727404</v>
      </c>
      <c r="D11" s="181">
        <f>ROUND((C11/$C$28)*100,1)</f>
        <v>12.9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232355</v>
      </c>
      <c r="D12" s="181">
        <f>ROUND((C12/$C$28)*100,1)</f>
        <v>4.0999999999999996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123201</v>
      </c>
      <c r="D13" s="181">
        <f>ROUND((C13/$C$28)*100,1)</f>
        <v>2.2000000000000002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400424</v>
      </c>
      <c r="D15" s="181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79902</v>
      </c>
      <c r="D16" s="181">
        <f t="shared" si="0"/>
        <v>1.4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345839</v>
      </c>
      <c r="D17" s="181">
        <f t="shared" si="0"/>
        <v>6.1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387562</v>
      </c>
      <c r="D18" s="181">
        <f t="shared" si="0"/>
        <v>6.9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364454</v>
      </c>
      <c r="D20" s="181">
        <f t="shared" si="0"/>
        <v>6.5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196749</v>
      </c>
      <c r="D21" s="181">
        <f t="shared" si="0"/>
        <v>3.5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2146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91384.639999999999</v>
      </c>
      <c r="D27" s="181">
        <f t="shared" si="0"/>
        <v>1.6</v>
      </c>
    </row>
    <row r="28" spans="1:4" x14ac:dyDescent="0.2">
      <c r="B28" s="186" t="s">
        <v>723</v>
      </c>
      <c r="C28" s="179">
        <f>SUM(C10:C27)</f>
        <v>5634898.6399999997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5634898.6399999997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1953116</v>
      </c>
      <c r="D35" s="181">
        <f t="shared" ref="D35:D40" si="1">ROUND((C35/$C$41)*100,1)</f>
        <v>34.4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960725.79</v>
      </c>
      <c r="D36" s="181">
        <f t="shared" si="1"/>
        <v>16.899999999999999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2291872</v>
      </c>
      <c r="D37" s="181">
        <f t="shared" si="1"/>
        <v>40.4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14877</v>
      </c>
      <c r="D38" s="181">
        <f t="shared" si="1"/>
        <v>0.3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451880</v>
      </c>
      <c r="D39" s="181">
        <f t="shared" si="1"/>
        <v>8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5672470.79</v>
      </c>
      <c r="D41" s="183">
        <f>SUM(D35:D40)</f>
        <v>99.999999999999986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2"/>
      <c r="K1" s="212"/>
      <c r="L1" s="212"/>
      <c r="M1" s="213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LISBON REGIONAL SCHOOL DISTRICT</v>
      </c>
      <c r="G2" s="293"/>
      <c r="H2" s="293"/>
      <c r="I2" s="293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7"/>
      <c r="B4" s="218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0"/>
      <c r="O29" s="210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6"/>
      <c r="AB29" s="206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6"/>
      <c r="AO29" s="206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6"/>
      <c r="BB29" s="206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6"/>
      <c r="BO29" s="206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6"/>
      <c r="CB29" s="206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6"/>
      <c r="CO29" s="206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6"/>
      <c r="DB29" s="206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6"/>
      <c r="DO29" s="206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6"/>
      <c r="EB29" s="206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6"/>
      <c r="EO29" s="206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6"/>
      <c r="FB29" s="206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6"/>
      <c r="FO29" s="206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6"/>
      <c r="GB29" s="206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6"/>
      <c r="GO29" s="206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6"/>
      <c r="HB29" s="206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6"/>
      <c r="HO29" s="206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6"/>
      <c r="IB29" s="206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6"/>
      <c r="IO29" s="206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7"/>
      <c r="B30" s="218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0"/>
      <c r="O30" s="210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6"/>
      <c r="AB30" s="206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6"/>
      <c r="AO30" s="206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6"/>
      <c r="BB30" s="206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6"/>
      <c r="BO30" s="206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6"/>
      <c r="CB30" s="206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6"/>
      <c r="CO30" s="206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6"/>
      <c r="DB30" s="206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6"/>
      <c r="DO30" s="206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6"/>
      <c r="EB30" s="206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6"/>
      <c r="EO30" s="206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6"/>
      <c r="FB30" s="206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6"/>
      <c r="FO30" s="206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6"/>
      <c r="GB30" s="206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6"/>
      <c r="GO30" s="206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6"/>
      <c r="HB30" s="206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6"/>
      <c r="HO30" s="206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6"/>
      <c r="IB30" s="206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6"/>
      <c r="IO30" s="206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7"/>
      <c r="B31" s="218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0"/>
      <c r="O31" s="210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6"/>
      <c r="AB31" s="206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6"/>
      <c r="AO31" s="206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6"/>
      <c r="BB31" s="206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6"/>
      <c r="BO31" s="206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6"/>
      <c r="CB31" s="206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6"/>
      <c r="CO31" s="206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6"/>
      <c r="DB31" s="206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6"/>
      <c r="DO31" s="206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6"/>
      <c r="EB31" s="206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6"/>
      <c r="EO31" s="206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6"/>
      <c r="FB31" s="206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6"/>
      <c r="FO31" s="206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6"/>
      <c r="GB31" s="206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6"/>
      <c r="GO31" s="206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6"/>
      <c r="HB31" s="206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6"/>
      <c r="HO31" s="206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6"/>
      <c r="IB31" s="206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6"/>
      <c r="IO31" s="206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7"/>
      <c r="B32" s="218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2"/>
      <c r="O32" s="222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7"/>
      <c r="AB32" s="218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7"/>
      <c r="AO32" s="218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7"/>
      <c r="BB32" s="218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7"/>
      <c r="BO32" s="218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7"/>
      <c r="CB32" s="218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7"/>
      <c r="CO32" s="218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7"/>
      <c r="DB32" s="218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7"/>
      <c r="DO32" s="218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7"/>
      <c r="EB32" s="218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7"/>
      <c r="EO32" s="218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7"/>
      <c r="FB32" s="218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7"/>
      <c r="FO32" s="218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7"/>
      <c r="GB32" s="218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7"/>
      <c r="GO32" s="218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7"/>
      <c r="HB32" s="218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7"/>
      <c r="HO32" s="218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7"/>
      <c r="IB32" s="218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7"/>
      <c r="IO32" s="218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7"/>
      <c r="B33" s="218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0"/>
      <c r="O38" s="210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6"/>
      <c r="AB38" s="206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6"/>
      <c r="AO38" s="206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6"/>
      <c r="BB38" s="206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6"/>
      <c r="BO38" s="206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6"/>
      <c r="CB38" s="206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6"/>
      <c r="CO38" s="206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6"/>
      <c r="DB38" s="206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6"/>
      <c r="DO38" s="206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6"/>
      <c r="EB38" s="206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6"/>
      <c r="EO38" s="206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6"/>
      <c r="FB38" s="206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6"/>
      <c r="FO38" s="206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6"/>
      <c r="GB38" s="206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6"/>
      <c r="GO38" s="206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6"/>
      <c r="HB38" s="206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6"/>
      <c r="HO38" s="206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6"/>
      <c r="IB38" s="206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6"/>
      <c r="IO38" s="206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7"/>
      <c r="B39" s="218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0"/>
      <c r="O39" s="210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6"/>
      <c r="AB39" s="206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6"/>
      <c r="AO39" s="206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6"/>
      <c r="BB39" s="206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6"/>
      <c r="BO39" s="206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6"/>
      <c r="CB39" s="206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6"/>
      <c r="CO39" s="206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6"/>
      <c r="DB39" s="206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6"/>
      <c r="DO39" s="206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6"/>
      <c r="EB39" s="206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6"/>
      <c r="EO39" s="206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6"/>
      <c r="FB39" s="206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6"/>
      <c r="FO39" s="206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6"/>
      <c r="GB39" s="206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6"/>
      <c r="GO39" s="206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6"/>
      <c r="HB39" s="206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6"/>
      <c r="HO39" s="206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6"/>
      <c r="IB39" s="206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6"/>
      <c r="IO39" s="206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7"/>
      <c r="B40" s="218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0"/>
      <c r="O40" s="210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6"/>
      <c r="AB40" s="206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6"/>
      <c r="AO40" s="206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6"/>
      <c r="BB40" s="206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6"/>
      <c r="BO40" s="206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6"/>
      <c r="CB40" s="206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6"/>
      <c r="CO40" s="206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6"/>
      <c r="DB40" s="206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6"/>
      <c r="DO40" s="206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6"/>
      <c r="EB40" s="206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6"/>
      <c r="EO40" s="206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6"/>
      <c r="FB40" s="206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6"/>
      <c r="FO40" s="206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6"/>
      <c r="GB40" s="206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6"/>
      <c r="GO40" s="206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6"/>
      <c r="HB40" s="206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6"/>
      <c r="HO40" s="206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6"/>
      <c r="IB40" s="206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6"/>
      <c r="IO40" s="206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7"/>
      <c r="B41" s="218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7"/>
      <c r="B60" s="218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7"/>
      <c r="B61" s="218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7"/>
      <c r="B62" s="218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7"/>
      <c r="B63" s="218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7"/>
      <c r="B64" s="218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7"/>
      <c r="B65" s="218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7"/>
      <c r="B66" s="218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7"/>
      <c r="B67" s="218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7"/>
      <c r="B68" s="218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7"/>
      <c r="B69" s="218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19"/>
      <c r="B70" s="220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0"/>
      <c r="B74" s="210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0"/>
      <c r="B75" s="210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0"/>
      <c r="B76" s="210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0"/>
      <c r="B77" s="210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0"/>
      <c r="B78" s="210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0"/>
      <c r="B79" s="210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0"/>
      <c r="B80" s="210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0"/>
      <c r="B81" s="210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0"/>
      <c r="B82" s="210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0"/>
      <c r="B83" s="210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0"/>
      <c r="B84" s="210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0"/>
      <c r="B85" s="210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0"/>
      <c r="B86" s="210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0"/>
      <c r="B87" s="210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0"/>
      <c r="B88" s="210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0"/>
      <c r="B89" s="210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0"/>
      <c r="B90" s="210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2016-10-12T16:17:33Z</cp:lastPrinted>
  <dcterms:created xsi:type="dcterms:W3CDTF">1997-12-04T19:04:30Z</dcterms:created>
  <dcterms:modified xsi:type="dcterms:W3CDTF">2016-11-30T16:32:34Z</dcterms:modified>
</cp:coreProperties>
</file>