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1600" windowHeight="113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F110" i="1" l="1"/>
  <c r="B39" i="12"/>
  <c r="B10" i="12"/>
  <c r="B11" i="12"/>
  <c r="I604" i="1"/>
  <c r="H225" i="1"/>
  <c r="H226" i="1"/>
  <c r="H244" i="1"/>
  <c r="F160" i="1"/>
  <c r="G97" i="1"/>
  <c r="G9" i="1"/>
  <c r="F360" i="1"/>
  <c r="G360" i="1"/>
  <c r="G359" i="1"/>
  <c r="G358" i="1"/>
  <c r="F359" i="1"/>
  <c r="F358" i="1"/>
  <c r="H368" i="1"/>
  <c r="H367" i="1"/>
  <c r="G367" i="1"/>
  <c r="F367" i="1"/>
  <c r="H359" i="1"/>
  <c r="K360" i="1"/>
  <c r="K359" i="1"/>
  <c r="K358" i="1"/>
  <c r="I360" i="1"/>
  <c r="I359" i="1"/>
  <c r="I358" i="1"/>
  <c r="H360" i="1"/>
  <c r="H358" i="1"/>
  <c r="G315" i="1"/>
  <c r="F315" i="1"/>
  <c r="G296" i="1"/>
  <c r="F296" i="1"/>
  <c r="G295" i="1"/>
  <c r="F295" i="1"/>
  <c r="H282" i="1"/>
  <c r="G277" i="1"/>
  <c r="F277" i="1"/>
  <c r="I276" i="1"/>
  <c r="G276" i="1"/>
  <c r="F276" i="1"/>
  <c r="H30" i="1"/>
  <c r="J255" i="1"/>
  <c r="G250" i="1"/>
  <c r="J245" i="1"/>
  <c r="I245" i="1"/>
  <c r="H245" i="1"/>
  <c r="J243" i="1"/>
  <c r="I243" i="1"/>
  <c r="H243" i="1"/>
  <c r="G243" i="1"/>
  <c r="I239" i="1"/>
  <c r="H239" i="1"/>
  <c r="G239" i="1"/>
  <c r="I238" i="1"/>
  <c r="H238" i="1"/>
  <c r="G238" i="1"/>
  <c r="J234" i="1"/>
  <c r="I234" i="1"/>
  <c r="H234" i="1"/>
  <c r="G234" i="1"/>
  <c r="G233" i="1"/>
  <c r="J227" i="1"/>
  <c r="I227" i="1"/>
  <c r="H227" i="1"/>
  <c r="I221" i="1"/>
  <c r="H221" i="1"/>
  <c r="G221" i="1"/>
  <c r="J220" i="1"/>
  <c r="I220" i="1"/>
  <c r="H220" i="1"/>
  <c r="G220" i="1"/>
  <c r="H216" i="1"/>
  <c r="J216" i="1"/>
  <c r="I216" i="1"/>
  <c r="G216" i="1"/>
  <c r="G215" i="1"/>
  <c r="J209" i="1"/>
  <c r="I209" i="1"/>
  <c r="H209" i="1"/>
  <c r="H208" i="1"/>
  <c r="J207" i="1"/>
  <c r="I207" i="1"/>
  <c r="H207" i="1"/>
  <c r="G207" i="1"/>
  <c r="I203" i="1"/>
  <c r="H203" i="1"/>
  <c r="G203" i="1"/>
  <c r="J202" i="1"/>
  <c r="I202" i="1"/>
  <c r="H202" i="1"/>
  <c r="G202" i="1"/>
  <c r="K198" i="1"/>
  <c r="J198" i="1"/>
  <c r="I198" i="1"/>
  <c r="H198" i="1"/>
  <c r="G198" i="1"/>
  <c r="G197" i="1"/>
  <c r="F243" i="1"/>
  <c r="F239" i="1"/>
  <c r="F238" i="1"/>
  <c r="F234" i="1"/>
  <c r="F233" i="1"/>
  <c r="F221" i="1"/>
  <c r="F220" i="1"/>
  <c r="F216" i="1"/>
  <c r="F215" i="1"/>
  <c r="F207" i="1"/>
  <c r="F203" i="1"/>
  <c r="F202" i="1"/>
  <c r="F198" i="1"/>
  <c r="F197" i="1"/>
  <c r="K215" i="1" l="1"/>
  <c r="J221" i="1"/>
  <c r="J203" i="1"/>
  <c r="J225" i="1"/>
  <c r="I225" i="1"/>
  <c r="G225" i="1"/>
  <c r="F225" i="1"/>
  <c r="F76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C112" i="2" s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J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E123" i="2" s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F22" i="13" s="1"/>
  <c r="C22" i="13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56" i="2" s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D85" i="2" s="1"/>
  <c r="G162" i="1"/>
  <c r="H147" i="1"/>
  <c r="E85" i="2" s="1"/>
  <c r="H162" i="1"/>
  <c r="H169" i="1" s="1"/>
  <c r="I147" i="1"/>
  <c r="I162" i="1"/>
  <c r="L250" i="1"/>
  <c r="C113" i="2" s="1"/>
  <c r="L332" i="1"/>
  <c r="E113" i="2" s="1"/>
  <c r="L254" i="1"/>
  <c r="L268" i="1"/>
  <c r="L269" i="1"/>
  <c r="C143" i="2" s="1"/>
  <c r="L349" i="1"/>
  <c r="E142" i="2" s="1"/>
  <c r="L350" i="1"/>
  <c r="E143" i="2" s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C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I408" i="1" s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F461" i="1" s="1"/>
  <c r="H639" i="1" s="1"/>
  <c r="G460" i="1"/>
  <c r="H460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G644" i="1"/>
  <c r="G652" i="1"/>
  <c r="H652" i="1"/>
  <c r="G653" i="1"/>
  <c r="H653" i="1"/>
  <c r="G654" i="1"/>
  <c r="H654" i="1"/>
  <c r="H655" i="1"/>
  <c r="J655" i="1" s="1"/>
  <c r="I169" i="1"/>
  <c r="J140" i="1"/>
  <c r="G192" i="1"/>
  <c r="I552" i="1" l="1"/>
  <c r="F552" i="1"/>
  <c r="L524" i="1"/>
  <c r="K605" i="1"/>
  <c r="G648" i="1" s="1"/>
  <c r="H476" i="1"/>
  <c r="H624" i="1" s="1"/>
  <c r="J624" i="1" s="1"/>
  <c r="F476" i="1"/>
  <c r="H622" i="1" s="1"/>
  <c r="J622" i="1" s="1"/>
  <c r="I369" i="1"/>
  <c r="H634" i="1" s="1"/>
  <c r="J634" i="1" s="1"/>
  <c r="G338" i="1"/>
  <c r="G352" i="1" s="1"/>
  <c r="E125" i="2"/>
  <c r="E110" i="2"/>
  <c r="H647" i="1"/>
  <c r="H25" i="13"/>
  <c r="C25" i="13" s="1"/>
  <c r="D127" i="2"/>
  <c r="D128" i="2" s="1"/>
  <c r="D145" i="2" s="1"/>
  <c r="L427" i="1"/>
  <c r="K571" i="1"/>
  <c r="H461" i="1"/>
  <c r="H641" i="1" s="1"/>
  <c r="J641" i="1" s="1"/>
  <c r="H140" i="1"/>
  <c r="L328" i="1"/>
  <c r="L560" i="1"/>
  <c r="I571" i="1"/>
  <c r="H552" i="1"/>
  <c r="H662" i="1"/>
  <c r="L565" i="1"/>
  <c r="G545" i="1"/>
  <c r="F662" i="1"/>
  <c r="L614" i="1"/>
  <c r="H338" i="1"/>
  <c r="H352" i="1" s="1"/>
  <c r="C132" i="2"/>
  <c r="C29" i="10"/>
  <c r="F571" i="1"/>
  <c r="C130" i="2"/>
  <c r="C122" i="2"/>
  <c r="C119" i="2"/>
  <c r="D7" i="13"/>
  <c r="C7" i="13" s="1"/>
  <c r="C118" i="2"/>
  <c r="E16" i="13"/>
  <c r="C16" i="13" s="1"/>
  <c r="E119" i="2"/>
  <c r="L256" i="1"/>
  <c r="K598" i="1"/>
  <c r="G647" i="1" s="1"/>
  <c r="I545" i="1"/>
  <c r="H545" i="1"/>
  <c r="L419" i="1"/>
  <c r="L434" i="1" s="1"/>
  <c r="G638" i="1" s="1"/>
  <c r="J638" i="1" s="1"/>
  <c r="D31" i="2"/>
  <c r="E122" i="2"/>
  <c r="E109" i="2"/>
  <c r="C111" i="2"/>
  <c r="C125" i="2"/>
  <c r="C110" i="2"/>
  <c r="J571" i="1"/>
  <c r="L544" i="1"/>
  <c r="G461" i="1"/>
  <c r="H640" i="1" s="1"/>
  <c r="J640" i="1" s="1"/>
  <c r="L433" i="1"/>
  <c r="C131" i="2"/>
  <c r="H112" i="1"/>
  <c r="H193" i="1" s="1"/>
  <c r="G629" i="1" s="1"/>
  <c r="J629" i="1" s="1"/>
  <c r="C21" i="10"/>
  <c r="E111" i="2"/>
  <c r="E120" i="2"/>
  <c r="F661" i="1"/>
  <c r="D15" i="13"/>
  <c r="C15" i="13" s="1"/>
  <c r="D12" i="13"/>
  <c r="C12" i="13" s="1"/>
  <c r="L247" i="1"/>
  <c r="C10" i="10"/>
  <c r="C17" i="10"/>
  <c r="C20" i="10"/>
  <c r="H571" i="1"/>
  <c r="H408" i="1"/>
  <c r="H644" i="1" s="1"/>
  <c r="J644" i="1" s="1"/>
  <c r="L401" i="1"/>
  <c r="C139" i="2" s="1"/>
  <c r="L393" i="1"/>
  <c r="C138" i="2" s="1"/>
  <c r="E114" i="2"/>
  <c r="E118" i="2"/>
  <c r="L229" i="1"/>
  <c r="C19" i="10"/>
  <c r="K257" i="1"/>
  <c r="K271" i="1" s="1"/>
  <c r="F192" i="1"/>
  <c r="L270" i="1"/>
  <c r="K551" i="1"/>
  <c r="L351" i="1"/>
  <c r="C13" i="10"/>
  <c r="K545" i="1"/>
  <c r="J545" i="1"/>
  <c r="J476" i="1"/>
  <c r="H626" i="1" s="1"/>
  <c r="G476" i="1"/>
  <c r="H623" i="1" s="1"/>
  <c r="J623" i="1" s="1"/>
  <c r="F408" i="1"/>
  <c r="H643" i="1" s="1"/>
  <c r="F338" i="1"/>
  <c r="F352" i="1" s="1"/>
  <c r="J257" i="1"/>
  <c r="J271" i="1" s="1"/>
  <c r="I52" i="1"/>
  <c r="H620" i="1" s="1"/>
  <c r="J552" i="1"/>
  <c r="G552" i="1"/>
  <c r="G625" i="1"/>
  <c r="J625" i="1" s="1"/>
  <c r="L534" i="1"/>
  <c r="I257" i="1"/>
  <c r="I271" i="1" s="1"/>
  <c r="H52" i="1"/>
  <c r="H619" i="1" s="1"/>
  <c r="K549" i="1"/>
  <c r="C26" i="10"/>
  <c r="C32" i="10"/>
  <c r="D19" i="13"/>
  <c r="C19" i="13" s="1"/>
  <c r="G662" i="1"/>
  <c r="D14" i="13"/>
  <c r="C14" i="13" s="1"/>
  <c r="H257" i="1"/>
  <c r="H271" i="1" s="1"/>
  <c r="G257" i="1"/>
  <c r="G271" i="1" s="1"/>
  <c r="C109" i="2"/>
  <c r="F257" i="1"/>
  <c r="F271" i="1" s="1"/>
  <c r="D5" i="13"/>
  <c r="C5" i="13" s="1"/>
  <c r="F112" i="1"/>
  <c r="D18" i="2"/>
  <c r="F18" i="2"/>
  <c r="G161" i="2"/>
  <c r="G156" i="2"/>
  <c r="E31" i="2"/>
  <c r="G164" i="2"/>
  <c r="H33" i="13"/>
  <c r="G157" i="2"/>
  <c r="D91" i="2"/>
  <c r="F78" i="2"/>
  <c r="F81" i="2" s="1"/>
  <c r="C78" i="2"/>
  <c r="D81" i="2"/>
  <c r="D62" i="2"/>
  <c r="D63" i="2" s="1"/>
  <c r="A31" i="12"/>
  <c r="D18" i="13"/>
  <c r="C18" i="13" s="1"/>
  <c r="C91" i="2"/>
  <c r="E78" i="2"/>
  <c r="E81" i="2" s="1"/>
  <c r="G62" i="2"/>
  <c r="G63" i="2" s="1"/>
  <c r="A13" i="12"/>
  <c r="D17" i="13"/>
  <c r="C17" i="13" s="1"/>
  <c r="E103" i="2"/>
  <c r="C70" i="2"/>
  <c r="A40" i="12"/>
  <c r="D6" i="13"/>
  <c r="C6" i="13" s="1"/>
  <c r="D50" i="2"/>
  <c r="J617" i="1"/>
  <c r="C18" i="2"/>
  <c r="J643" i="1"/>
  <c r="E62" i="2"/>
  <c r="J639" i="1"/>
  <c r="K550" i="1"/>
  <c r="I460" i="1"/>
  <c r="I446" i="1"/>
  <c r="G642" i="1" s="1"/>
  <c r="C123" i="2"/>
  <c r="C114" i="2"/>
  <c r="L211" i="1"/>
  <c r="C16" i="10"/>
  <c r="J112" i="1"/>
  <c r="J193" i="1" s="1"/>
  <c r="G646" i="1" s="1"/>
  <c r="L362" i="1"/>
  <c r="C27" i="10" s="1"/>
  <c r="E13" i="13"/>
  <c r="C13" i="13" s="1"/>
  <c r="L290" i="1"/>
  <c r="G645" i="1"/>
  <c r="J645" i="1" s="1"/>
  <c r="L539" i="1"/>
  <c r="K503" i="1"/>
  <c r="L382" i="1"/>
  <c r="G636" i="1" s="1"/>
  <c r="J636" i="1" s="1"/>
  <c r="G81" i="2"/>
  <c r="C62" i="2"/>
  <c r="C63" i="2" s="1"/>
  <c r="C15" i="10"/>
  <c r="H661" i="1"/>
  <c r="C12" i="10"/>
  <c r="D29" i="13"/>
  <c r="C29" i="13" s="1"/>
  <c r="K500" i="1"/>
  <c r="C121" i="2"/>
  <c r="E56" i="2"/>
  <c r="G661" i="1"/>
  <c r="E124" i="2"/>
  <c r="G112" i="1"/>
  <c r="E8" i="13"/>
  <c r="C8" i="13" s="1"/>
  <c r="K338" i="1"/>
  <c r="K352" i="1" s="1"/>
  <c r="C35" i="10"/>
  <c r="G649" i="1"/>
  <c r="J649" i="1" s="1"/>
  <c r="J338" i="1"/>
  <c r="J352" i="1" s="1"/>
  <c r="C124" i="2"/>
  <c r="C120" i="2"/>
  <c r="C18" i="10"/>
  <c r="I452" i="1"/>
  <c r="C11" i="10"/>
  <c r="L309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G169" i="1"/>
  <c r="C39" i="10" s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A22" i="12"/>
  <c r="J652" i="1"/>
  <c r="G571" i="1"/>
  <c r="I434" i="1"/>
  <c r="G434" i="1"/>
  <c r="I663" i="1"/>
  <c r="L338" i="1" l="1"/>
  <c r="L352" i="1" s="1"/>
  <c r="G633" i="1" s="1"/>
  <c r="J633" i="1" s="1"/>
  <c r="J647" i="1"/>
  <c r="I662" i="1"/>
  <c r="H660" i="1"/>
  <c r="H664" i="1" s="1"/>
  <c r="H672" i="1" s="1"/>
  <c r="C6" i="10" s="1"/>
  <c r="E115" i="2"/>
  <c r="L257" i="1"/>
  <c r="D51" i="2"/>
  <c r="L408" i="1"/>
  <c r="G660" i="1"/>
  <c r="G664" i="1" s="1"/>
  <c r="E128" i="2"/>
  <c r="C141" i="2"/>
  <c r="C144" i="2" s="1"/>
  <c r="I661" i="1"/>
  <c r="I193" i="1"/>
  <c r="G630" i="1" s="1"/>
  <c r="J630" i="1" s="1"/>
  <c r="L545" i="1"/>
  <c r="K552" i="1"/>
  <c r="F104" i="2"/>
  <c r="C115" i="2"/>
  <c r="D104" i="2"/>
  <c r="C36" i="10"/>
  <c r="F193" i="1"/>
  <c r="G627" i="1" s="1"/>
  <c r="J627" i="1" s="1"/>
  <c r="C128" i="2"/>
  <c r="G51" i="2"/>
  <c r="C28" i="10"/>
  <c r="D23" i="10" s="1"/>
  <c r="G104" i="2"/>
  <c r="C81" i="2"/>
  <c r="C104" i="2" s="1"/>
  <c r="E51" i="2"/>
  <c r="G635" i="1"/>
  <c r="J635" i="1" s="1"/>
  <c r="F51" i="2"/>
  <c r="E33" i="13"/>
  <c r="D35" i="13" s="1"/>
  <c r="E63" i="2"/>
  <c r="E104" i="2" s="1"/>
  <c r="H648" i="1"/>
  <c r="J648" i="1" s="1"/>
  <c r="F660" i="1"/>
  <c r="D31" i="13"/>
  <c r="C31" i="13" s="1"/>
  <c r="I461" i="1"/>
  <c r="H642" i="1" s="1"/>
  <c r="J64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L271" i="1"/>
  <c r="H667" i="1"/>
  <c r="G637" i="1"/>
  <c r="J637" i="1" s="1"/>
  <c r="H646" i="1"/>
  <c r="J646" i="1" s="1"/>
  <c r="C145" i="2"/>
  <c r="D20" i="10"/>
  <c r="D12" i="10"/>
  <c r="D11" i="10"/>
  <c r="D21" i="10"/>
  <c r="D25" i="10"/>
  <c r="D13" i="10"/>
  <c r="D16" i="10"/>
  <c r="D19" i="10"/>
  <c r="D18" i="10"/>
  <c r="D26" i="10"/>
  <c r="D22" i="10"/>
  <c r="D15" i="10"/>
  <c r="D27" i="10"/>
  <c r="D17" i="10"/>
  <c r="D24" i="10"/>
  <c r="D10" i="10"/>
  <c r="C30" i="10"/>
  <c r="G672" i="1"/>
  <c r="C5" i="10" s="1"/>
  <c r="G667" i="1"/>
  <c r="F664" i="1"/>
  <c r="I660" i="1"/>
  <c r="I664" i="1" s="1"/>
  <c r="I672" i="1" s="1"/>
  <c r="C7" i="10" s="1"/>
  <c r="D33" i="13"/>
  <c r="D36" i="13" s="1"/>
  <c r="C41" i="10"/>
  <c r="D38" i="10" s="1"/>
  <c r="G632" i="1" l="1"/>
  <c r="J632" i="1" s="1"/>
  <c r="D28" i="10"/>
  <c r="I667" i="1"/>
  <c r="F672" i="1"/>
  <c r="C4" i="10" s="1"/>
  <c r="F667" i="1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<sst xmlns="http://schemas.openxmlformats.org/spreadsheetml/2006/main" count="3955" uniqueCount="913">
  <si>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</si>
  <si>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</si>
  <si>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</si>
  <si>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</si>
  <si>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</si>
  <si>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</si>
  <si>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</si>
  <si>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</si>
  <si>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</si>
  <si>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</si>
  <si>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</si>
  <si>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</si>
  <si>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</si>
  <si>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</si>
  <si>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</si>
  <si>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</si>
  <si>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</si>
  <si>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</si>
  <si>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</si>
  <si>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</si>
  <si>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</si>
  <si>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</si>
  <si>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</si>
  <si>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</si>
  <si>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</si>
  <si>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</si>
  <si>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</si>
  <si>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</si>
  <si>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</si>
  <si>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</si>
  <si>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</si>
  <si>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</si>
  <si>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</si>
  <si>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</si>
  <si>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</si>
  <si>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</si>
  <si>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</si>
  <si>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</si>
  <si>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</si>
  <si>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</si>
  <si>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</si>
  <si>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</si>
  <si>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</si>
  <si>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</si>
  <si>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</si>
  <si>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</si>
  <si>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</si>
  <si>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</si>
  <si>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</si>
  <si>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</si>
  <si>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</si>
  <si>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</si>
  <si>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</si>
  <si>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</si>
  <si>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</si>
  <si>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</si>
  <si>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</si>
  <si>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</si>
  <si>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</si>
  <si>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</si>
  <si>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</si>
  <si>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</si>
  <si>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</si>
  <si>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</si>
  <si>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</si>
  <si>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</si>
  <si>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</si>
  <si>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</si>
  <si>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</si>
  <si>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</si>
  <si>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</si>
  <si>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</si>
  <si>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</si>
  <si>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</si>
  <si>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</si>
  <si>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</si>
  <si>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</si>
  <si>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</si>
  <si>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</si>
  <si>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</si>
  <si>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</si>
  <si>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</si>
  <si>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</si>
  <si>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</si>
  <si>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</si>
  <si>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</si>
  <si>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</si>
  <si>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</si>
  <si>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</si>
  <si>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</si>
  <si>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</si>
  <si>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</si>
  <si>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</si>
  <si>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</si>
  <si>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</si>
  <si>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</si>
  <si>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</si>
  <si>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</si>
  <si>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</si>
  <si>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</si>
  <si>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</si>
  <si>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</si>
  <si>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</si>
  <si>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</si>
  <si>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</si>
  <si>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</si>
  <si>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</si>
  <si>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</si>
  <si>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</si>
  <si>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</si>
  <si>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</si>
  <si>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</si>
  <si>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</si>
  <si>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</si>
  <si>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</si>
  <si>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</si>
  <si>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</si>
  <si>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</si>
  <si>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</si>
  <si>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</si>
  <si>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</si>
  <si>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</si>
  <si>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</si>
  <si>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</si>
  <si>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</si>
  <si>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</si>
  <si>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</si>
  <si>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</si>
  <si>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</si>
  <si>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</si>
  <si>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</si>
  <si>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</si>
  <si>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</si>
  <si>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</si>
  <si>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</si>
  <si>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</si>
  <si>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</si>
  <si>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</si>
  <si>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</si>
  <si>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</si>
  <si>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</si>
  <si>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</si>
  <si>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</si>
  <si>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</si>
  <si>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</si>
  <si>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</si>
  <si>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</si>
  <si>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</si>
  <si>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</si>
  <si>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</si>
  <si>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</si>
  <si>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</si>
  <si>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</si>
  <si>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</si>
  <si>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</si>
  <si>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</si>
  <si>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</si>
  <si>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</si>
  <si>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</si>
  <si>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</si>
  <si>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</si>
  <si>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</si>
  <si>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</si>
  <si>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</si>
  <si>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</si>
  <si>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</si>
  <si>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</si>
  <si>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</si>
  <si>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</si>
  <si>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</si>
  <si>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</si>
  <si>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</si>
  <si>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</si>
  <si>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</si>
  <si>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</si>
  <si>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</si>
  <si>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</si>
  <si>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</si>
  <si>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</si>
  <si>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</si>
  <si>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</si>
  <si>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</si>
  <si>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</si>
  <si>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</si>
  <si>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</si>
  <si>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</si>
  <si>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</si>
  <si>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</si>
  <si>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</si>
  <si>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</si>
  <si>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</si>
  <si>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</si>
  <si>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</si>
  <si>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</si>
  <si>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</si>
  <si>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</si>
  <si>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</si>
  <si>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</si>
  <si>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</si>
  <si>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</si>
  <si>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</si>
  <si>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</si>
  <si>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</si>
  <si>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</si>
  <si>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</si>
  <si>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</si>
  <si>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</si>
  <si>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</si>
  <si>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</si>
  <si>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</si>
  <si>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</si>
  <si>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</si>
  <si>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</si>
  <si>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</si>
  <si>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</si>
  <si>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</si>
  <si>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</si>
  <si>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</si>
  <si>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</si>
  <si>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</si>
  <si>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</si>
  <si>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</si>
  <si>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</si>
  <si>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</si>
  <si>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</si>
  <si>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</si>
  <si>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</si>
  <si>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</si>
  <si>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</si>
  <si>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</si>
  <si>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</si>
  <si>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</si>
  <si>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</si>
  <si>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</si>
  <si>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</si>
  <si>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</si>
  <si>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</si>
  <si>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</si>
  <si>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</si>
  <si>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</si>
  <si>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</si>
  <si>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</si>
  <si>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</si>
  <si>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</si>
  <si>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</si>
  <si>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</si>
  <si>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</si>
  <si>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</si>
  <si>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</si>
  <si>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</si>
  <si>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</si>
  <si>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</si>
  <si>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</si>
  <si>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</si>
  <si>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</si>
  <si>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</si>
  <si>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</si>
  <si>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</si>
  <si>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</si>
  <si>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</si>
  <si>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</si>
  <si>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</si>
  <si>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</si>
  <si>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</si>
  <si>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</si>
  <si>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</si>
  <si>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</si>
  <si>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</si>
  <si>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</si>
  <si>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</si>
  <si>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</si>
  <si>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</si>
  <si>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</si>
  <si>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</si>
  <si>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</si>
  <si>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</si>
  <si>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</si>
  <si>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</si>
  <si>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</si>
  <si>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</si>
  <si>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</si>
  <si>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</si>
  <si>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</si>
  <si>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</si>
  <si>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</si>
  <si>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</si>
  <si>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</si>
  <si>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</si>
  <si>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</si>
  <si>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</si>
  <si>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</si>
  <si>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</si>
  <si>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</si>
  <si>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</si>
  <si>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</si>
  <si>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</si>
  <si>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</si>
  <si>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</si>
  <si>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</si>
  <si>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</si>
  <si>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</si>
  <si>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</si>
  <si>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</si>
  <si>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</si>
  <si>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</si>
  <si>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</si>
  <si>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</si>
  <si>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</si>
  <si>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</si>
  <si>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</si>
  <si>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</si>
  <si>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</si>
  <si>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</si>
  <si>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</si>
  <si>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</si>
  <si>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</si>
  <si>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</si>
  <si>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</si>
  <si>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</si>
  <si>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</si>
  <si>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</si>
  <si>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</si>
  <si>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</si>
  <si>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</si>
  <si>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</si>
  <si>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</si>
  <si>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</si>
  <si>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</si>
  <si>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</si>
  <si>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</si>
  <si>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</si>
  <si>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</si>
  <si>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</si>
  <si>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</si>
  <si>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</si>
  <si>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</si>
  <si>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</si>
  <si>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</si>
  <si>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</si>
  <si>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</si>
  <si>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</si>
  <si>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</si>
  <si>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</si>
  <si>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</si>
  <si>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</si>
  <si>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</si>
  <si>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</si>
  <si>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</si>
  <si>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</si>
  <si>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</si>
  <si>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</si>
  <si>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</si>
  <si>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</si>
  <si>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</si>
  <si>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</si>
  <si>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</si>
  <si>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</si>
  <si>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</si>
  <si>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</si>
  <si>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</si>
  <si>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</si>
  <si>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</si>
  <si>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</si>
  <si>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</si>
  <si>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</si>
  <si>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</si>
  <si>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</si>
  <si>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</si>
  <si>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</si>
  <si>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</si>
  <si>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</si>
  <si>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</si>
  <si>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</si>
  <si>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</si>
  <si>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</si>
  <si>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</si>
  <si>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</si>
  <si>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</si>
  <si>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</si>
  <si>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</si>
  <si>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</si>
  <si>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</si>
  <si>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</si>
  <si>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</si>
  <si>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</si>
  <si>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</si>
  <si>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</si>
  <si>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</si>
  <si>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</si>
  <si>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</si>
  <si>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</si>
  <si>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</si>
  <si>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</si>
  <si>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</si>
  <si>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</si>
  <si>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</si>
  <si>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</si>
  <si>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</si>
  <si>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</si>
  <si>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</si>
  <si>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</si>
  <si>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</si>
  <si>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</si>
  <si>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</si>
  <si>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</si>
  <si>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</si>
  <si>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</si>
  <si>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</si>
  <si>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</si>
  <si>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</si>
  <si>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</si>
  <si>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</si>
  <si>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</si>
  <si>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</si>
  <si>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</si>
  <si>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</si>
  <si>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</si>
  <si>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</si>
  <si>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</si>
  <si>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</si>
  <si>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</si>
  <si>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</si>
  <si>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</si>
  <si>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</si>
  <si>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</si>
  <si>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</si>
  <si>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</si>
  <si>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</si>
  <si>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</si>
  <si>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</si>
  <si>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</si>
  <si>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</si>
  <si>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</si>
  <si>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</si>
  <si>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</si>
  <si>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</si>
  <si>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</si>
  <si>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</si>
  <si>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</si>
  <si>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</si>
  <si>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</si>
  <si>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</si>
  <si>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</si>
  <si>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</si>
  <si>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</si>
  <si>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</si>
  <si>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</si>
  <si>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</si>
  <si>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</si>
  <si>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</si>
  <si>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</si>
  <si>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</si>
  <si>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</si>
  <si>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</si>
  <si>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</si>
  <si>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</si>
  <si>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</si>
  <si>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</si>
  <si>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</si>
  <si>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</si>
  <si>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</si>
  <si>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</si>
  <si>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</si>
  <si>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</si>
  <si>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</si>
  <si>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</si>
  <si>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</si>
  <si>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</si>
  <si>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</si>
  <si>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</si>
  <si>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</si>
  <si>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</si>
  <si>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</si>
  <si>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</si>
  <si>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</si>
  <si>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</si>
  <si>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</si>
  <si>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</si>
  <si>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</si>
  <si>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</si>
  <si>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</si>
  <si>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</si>
  <si>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</si>
  <si>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</si>
  <si>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</si>
  <si>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</si>
  <si>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</si>
  <si>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</si>
  <si>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</si>
  <si>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</si>
  <si>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</si>
  <si>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</si>
  <si>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</si>
  <si>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</si>
  <si>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</si>
  <si>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</si>
  <si>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</si>
  <si>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</si>
  <si>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</si>
  <si>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</si>
  <si>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</si>
  <si>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</si>
  <si>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</si>
  <si>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</si>
  <si>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</si>
  <si>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</si>
  <si>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</si>
  <si>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</si>
  <si>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</si>
  <si>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</si>
  <si>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</si>
  <si>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</si>
  <si>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</si>
  <si>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</si>
  <si>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</si>
  <si>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</si>
  <si>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</si>
  <si>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</si>
  <si>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</si>
  <si>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</si>
  <si>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</si>
  <si>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</si>
  <si>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</si>
  <si>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</si>
  <si>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</si>
  <si>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</si>
  <si>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</si>
  <si>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</si>
  <si>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</si>
  <si>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</si>
  <si>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</si>
  <si>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</si>
  <si>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</si>
  <si>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</si>
  <si>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</si>
  <si>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</si>
  <si>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</si>
  <si>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</si>
  <si>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</si>
  <si>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</si>
  <si>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</si>
  <si>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</si>
  <si>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</si>
  <si>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</si>
  <si>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</si>
  <si>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</si>
  <si>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</si>
  <si>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</si>
  <si>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</si>
  <si>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</si>
  <si>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</si>
  <si>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</si>
  <si>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</si>
  <si>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</si>
  <si>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</si>
  <si>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</si>
  <si>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</si>
  <si>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</si>
  <si>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</si>
  <si>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</si>
  <si>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</si>
  <si>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</si>
  <si>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</si>
  <si>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</si>
  <si>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</si>
  <si>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</si>
  <si>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</si>
  <si>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</si>
  <si>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</si>
  <si>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</si>
  <si>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</si>
  <si>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</si>
  <si>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</si>
  <si>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</si>
  <si>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</si>
  <si>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</si>
  <si>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</si>
  <si>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</si>
  <si>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</si>
  <si>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</si>
  <si>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</si>
  <si>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</si>
  <si>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</si>
  <si>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</si>
  <si>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</si>
  <si>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</si>
  <si>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</si>
  <si>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</si>
  <si>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</si>
  <si>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</si>
  <si>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</si>
  <si>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</si>
  <si>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</si>
  <si>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</si>
  <si>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</si>
  <si>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</si>
  <si>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</si>
  <si>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</si>
  <si>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</si>
  <si>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</si>
  <si>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</si>
  <si>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</si>
  <si>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</si>
  <si>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</si>
  <si>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</si>
  <si>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</si>
  <si>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</si>
  <si>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</si>
  <si>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</si>
  <si>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</si>
  <si>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</si>
  <si>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</si>
  <si>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</si>
  <si>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</si>
  <si>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</si>
  <si>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</si>
  <si>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</si>
  <si>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</si>
  <si>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</si>
  <si>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</si>
  <si>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</si>
  <si>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</si>
  <si>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</si>
  <si>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</si>
  <si>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</si>
  <si>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</si>
  <si>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</si>
  <si>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</si>
  <si>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</si>
  <si>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</si>
  <si>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</si>
  <si>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</si>
  <si>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</si>
  <si>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</si>
  <si>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</si>
  <si>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</si>
  <si>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</si>
  <si>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</si>
  <si>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</si>
  <si>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</si>
  <si>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</si>
  <si>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</si>
  <si>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</si>
  <si>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</si>
  <si>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</si>
  <si>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</si>
  <si>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</si>
  <si>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</si>
  <si>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</si>
  <si>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</si>
  <si>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</si>
  <si>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</si>
  <si>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</si>
  <si>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</si>
  <si>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</si>
  <si>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</si>
  <si>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</si>
  <si>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</si>
  <si>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</si>
  <si>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</si>
  <si>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</si>
  <si>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</si>
  <si>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</si>
  <si>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</si>
  <si>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</si>
  <si>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</si>
  <si>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</si>
  <si>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</si>
  <si>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</si>
  <si>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</si>
  <si>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</si>
  <si>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</si>
  <si>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</si>
  <si>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</si>
  <si>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</si>
  <si>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</si>
  <si>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</si>
  <si>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</si>
  <si>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</si>
  <si>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</si>
  <si>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</si>
  <si>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</si>
  <si>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</si>
  <si>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</si>
  <si>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</si>
  <si>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</si>
  <si>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</si>
  <si>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</si>
  <si>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</si>
  <si>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</si>
  <si>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</si>
  <si>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</si>
  <si>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</si>
  <si>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</si>
  <si>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</si>
  <si>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</si>
  <si>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</si>
  <si>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</si>
  <si>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</si>
  <si>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</si>
  <si>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</si>
  <si>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</si>
  <si>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</si>
  <si>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</si>
  <si>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</si>
  <si>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</si>
  <si>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</si>
  <si>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</si>
  <si>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</si>
  <si>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</si>
  <si>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</si>
  <si>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</si>
  <si>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</si>
  <si>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</si>
  <si>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</si>
  <si>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</si>
  <si>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</si>
  <si>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</si>
  <si>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</si>
  <si>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</si>
  <si>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</si>
  <si>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</si>
  <si>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</si>
  <si>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</si>
  <si>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</si>
  <si>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</si>
  <si>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</si>
  <si>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</si>
  <si>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</si>
  <si>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</si>
  <si>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</si>
  <si>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</si>
  <si>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</si>
  <si>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</si>
  <si>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</si>
  <si>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</si>
  <si>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</si>
  <si>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</si>
  <si>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</si>
  <si>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</si>
  <si>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</si>
  <si>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</si>
  <si>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</si>
  <si>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</si>
  <si>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</si>
  <si>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</si>
  <si>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</si>
  <si>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</si>
  <si>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</si>
  <si>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</si>
  <si>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</si>
  <si>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</si>
  <si>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</si>
  <si>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</si>
  <si>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</si>
  <si>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</si>
  <si>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</si>
  <si>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</si>
  <si>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</si>
  <si>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</si>
  <si>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</si>
  <si>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</si>
  <si>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</si>
  <si>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</si>
  <si>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</si>
  <si>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</si>
  <si>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</si>
  <si>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</si>
  <si>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</si>
  <si>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</si>
  <si>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</si>
  <si>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</si>
  <si>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</si>
  <si>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</si>
  <si>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</si>
  <si>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</si>
  <si>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</si>
  <si>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</si>
  <si>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</si>
  <si>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</si>
  <si>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</si>
  <si>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</si>
  <si>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</si>
  <si>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</si>
  <si>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</si>
  <si>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</si>
  <si>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</si>
  <si>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</si>
  <si>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</si>
  <si>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</si>
  <si>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</si>
  <si>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</si>
  <si>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</si>
  <si>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</si>
  <si>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</si>
  <si>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</si>
  <si>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</si>
  <si>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</si>
  <si>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</si>
  <si>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</si>
  <si>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</si>
  <si>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</si>
  <si>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</si>
  <si>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</si>
  <si>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</si>
  <si>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</si>
  <si>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</si>
  <si>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</si>
  <si>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</si>
  <si>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</si>
  <si>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</si>
  <si>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</si>
  <si>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</si>
  <si>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</si>
  <si>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</si>
  <si>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</si>
  <si>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</si>
  <si>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</si>
  <si>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</si>
  <si>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</si>
  <si>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</si>
  <si>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</si>
  <si>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</si>
  <si>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</si>
  <si>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</si>
  <si>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</si>
  <si>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</si>
  <si>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</si>
  <si>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</si>
  <si>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</si>
  <si>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</si>
  <si>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</si>
  <si>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</si>
  <si>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</si>
  <si>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</si>
  <si>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</si>
  <si>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</si>
  <si>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</si>
  <si>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</si>
  <si>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</si>
  <si>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</si>
  <si>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</si>
  <si>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</si>
  <si>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</si>
  <si>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</si>
  <si>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</si>
  <si>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</si>
  <si>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</si>
  <si>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</si>
  <si>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</si>
  <si>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</si>
  <si>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</si>
  <si>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</si>
  <si>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</si>
  <si>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</si>
  <si>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</si>
  <si>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</si>
  <si>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</si>
  <si>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</si>
  <si>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</si>
  <si>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</si>
  <si>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</si>
  <si>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</si>
  <si>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</si>
  <si>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</si>
  <si>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</si>
  <si>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</si>
  <si>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</si>
  <si>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</si>
  <si>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</si>
  <si>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</si>
  <si>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</si>
  <si>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</si>
  <si>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</si>
  <si>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</si>
  <si>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</si>
  <si>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</si>
  <si>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</si>
  <si>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</si>
  <si>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</si>
  <si>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</si>
  <si>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</si>
  <si>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</si>
  <si>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</si>
  <si>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</si>
  <si>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</si>
  <si>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</si>
  <si>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</si>
  <si>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</si>
  <si>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</si>
  <si>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</si>
  <si>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</si>
  <si>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</si>
  <si>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</si>
  <si>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</si>
  <si>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</si>
  <si>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</si>
  <si>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</si>
  <si>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</si>
  <si>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</si>
  <si>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</si>
  <si>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</si>
  <si>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</si>
  <si>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</si>
  <si>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</si>
  <si>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</si>
  <si>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</si>
  <si>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</si>
  <si>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</si>
  <si>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</si>
  <si>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</si>
  <si>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</si>
  <si>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Litchfield School District - SAU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</si>
</sst>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315</v>
      </c>
      <c r="C2" s="21">
        <v>315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1105910.45</v>
      </c>
      <c r="G9" s="18">
        <f>117591.11</f>
        <v>117591.11</v>
      </c>
      <c r="H9" s="18">
        <v>-45574.28</v>
      </c>
      <c r="I9" s="18"/>
      <c r="J9" s="67">
        <f>SUM(I439)</f>
        <v>155217.79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4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52698.17</v>
      </c>
      <c r="G13" s="18">
        <v>5161.1499999999996</v>
      </c>
      <c r="H13" s="18">
        <v>101963.71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1200.5899999999999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1159809.21</v>
      </c>
      <c r="G19" s="41">
        <f>SUM(G9:G18)</f>
        <v>122752.26</v>
      </c>
      <c r="H19" s="41">
        <f>SUM(H9:H18)</f>
        <v>56389.430000000008</v>
      </c>
      <c r="I19" s="41">
        <f>SUM(I9:I18)</f>
        <v>0</v>
      </c>
      <c r="J19" s="41">
        <f>SUM(J9:J18)</f>
        <v>155217.79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117634.11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24115.43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1568.18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667077.62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13542.28</v>
      </c>
      <c r="H30" s="18">
        <f>49265.54+7123.89</f>
        <v>56389.43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810395.34</v>
      </c>
      <c r="G32" s="41">
        <f>SUM(G22:G31)</f>
        <v>13542.28</v>
      </c>
      <c r="H32" s="41">
        <f>SUM(H22:H31)</f>
        <v>56389.43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109209.98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155217.79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10685.03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238728.84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349413.87</v>
      </c>
      <c r="G51" s="41">
        <f>SUM(G35:G50)</f>
        <v>109209.98</v>
      </c>
      <c r="H51" s="41">
        <f>SUM(H35:H50)</f>
        <v>0</v>
      </c>
      <c r="I51" s="41">
        <f>SUM(I35:I50)</f>
        <v>0</v>
      </c>
      <c r="J51" s="41">
        <f>SUM(J35:J50)</f>
        <v>155217.79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1159809.21</v>
      </c>
      <c r="G52" s="41">
        <f>G51+G32</f>
        <v>122752.26</v>
      </c>
      <c r="H52" s="41">
        <f>H51+H32</f>
        <v>56389.43</v>
      </c>
      <c r="I52" s="41">
        <f>I51+I32</f>
        <v>0</v>
      </c>
      <c r="J52" s="41">
        <f>J51+J32</f>
        <v>155217.79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11499194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11499194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f>12330+9783</f>
        <v>22113</v>
      </c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26164.45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48277.45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8201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8201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408.44</v>
      </c>
      <c r="G96" s="18">
        <v>7.32</v>
      </c>
      <c r="H96" s="18"/>
      <c r="I96" s="18"/>
      <c r="J96" s="18">
        <v>358.72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417294.44+22281.09-0.63</f>
        <v>439574.9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900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70326.32-451+0.65-8201</f>
        <v>61674.97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62983.41</v>
      </c>
      <c r="G111" s="41">
        <f>SUM(G96:G110)</f>
        <v>439582.22000000003</v>
      </c>
      <c r="H111" s="41">
        <f>SUM(H96:H110)</f>
        <v>0</v>
      </c>
      <c r="I111" s="41">
        <f>SUM(I96:I110)</f>
        <v>0</v>
      </c>
      <c r="J111" s="41">
        <f>SUM(J96:J110)</f>
        <v>358.72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11618655.859999999</v>
      </c>
      <c r="G112" s="41">
        <f>G60+G111</f>
        <v>439582.22000000003</v>
      </c>
      <c r="H112" s="41">
        <f>H60+H79+H94+H111</f>
        <v>0</v>
      </c>
      <c r="I112" s="41">
        <f>I60+I111</f>
        <v>0</v>
      </c>
      <c r="J112" s="41">
        <f>J60+J111</f>
        <v>358.72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5680132.5700000003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1869042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7549174.5700000003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166286.82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82706.929999999993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3860.16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5555.53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3000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255853.91</v>
      </c>
      <c r="G136" s="41">
        <f>SUM(G123:G135)</f>
        <v>5555.53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7805028.4800000004</v>
      </c>
      <c r="G140" s="41">
        <f>G121+SUM(G136:G137)</f>
        <v>5555.53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v>353228.84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51497.81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83715.149999999994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104044.56+0.1</f>
        <v>104044.66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104044.66</v>
      </c>
      <c r="G162" s="41">
        <f>SUM(G150:G161)</f>
        <v>83715.149999999994</v>
      </c>
      <c r="H162" s="41">
        <f>SUM(H150:H161)</f>
        <v>404726.65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104044.66</v>
      </c>
      <c r="G169" s="41">
        <f>G147+G162+SUM(G163:G168)</f>
        <v>83715.149999999994</v>
      </c>
      <c r="H169" s="41">
        <f>H147+H162+SUM(H163:H168)</f>
        <v>404726.65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19527729</v>
      </c>
      <c r="G193" s="47">
        <f>G112+G140+G169+G192</f>
        <v>528852.9</v>
      </c>
      <c r="H193" s="47">
        <f>H112+H140+H169+H192</f>
        <v>404726.65</v>
      </c>
      <c r="I193" s="47">
        <f>I112+I140+I169+I192</f>
        <v>0</v>
      </c>
      <c r="J193" s="47">
        <f>J112+J140+J192</f>
        <v>358.72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1557372.69+21086.07</f>
        <v>1578458.76</v>
      </c>
      <c r="G197" s="18">
        <f>710403.45+3986.69</f>
        <v>714390.1399999999</v>
      </c>
      <c r="H197" s="18">
        <v>19714.150000000001</v>
      </c>
      <c r="I197" s="18">
        <v>42107.28</v>
      </c>
      <c r="J197" s="18">
        <v>14641.85</v>
      </c>
      <c r="K197" s="18">
        <v>0</v>
      </c>
      <c r="L197" s="19">
        <f>SUM(F197:K197)</f>
        <v>2369312.1799999997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685965.02+29218.47</f>
        <v>715183.49</v>
      </c>
      <c r="G198" s="18">
        <f>190873.31+11120.95</f>
        <v>201994.26</v>
      </c>
      <c r="H198" s="18">
        <f>3704.5+50991.8</f>
        <v>54696.3</v>
      </c>
      <c r="I198" s="18">
        <f>8399.64+195.05</f>
        <v>8594.6899999999987</v>
      </c>
      <c r="J198" s="18">
        <f>6873.15+437.32</f>
        <v>7310.4699999999993</v>
      </c>
      <c r="K198" s="18">
        <f>769.82+4850.95</f>
        <v>5620.7699999999995</v>
      </c>
      <c r="L198" s="19">
        <f>SUM(F198:K198)</f>
        <v>993399.98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11743.16</v>
      </c>
      <c r="G200" s="18">
        <v>2510.4699999999998</v>
      </c>
      <c r="H200" s="18">
        <v>0</v>
      </c>
      <c r="I200" s="18">
        <v>1600.04</v>
      </c>
      <c r="J200" s="18">
        <v>0</v>
      </c>
      <c r="K200" s="18">
        <v>200</v>
      </c>
      <c r="L200" s="19">
        <f>SUM(F200:K200)</f>
        <v>16053.669999999998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129185.33+120817.03</f>
        <v>250002.36</v>
      </c>
      <c r="G202" s="18">
        <f>60682.89+47035.57</f>
        <v>107718.45999999999</v>
      </c>
      <c r="H202" s="18">
        <f>1305+17264.45</f>
        <v>18569.45</v>
      </c>
      <c r="I202" s="18">
        <f>2089.07+1184.62</f>
        <v>3273.69</v>
      </c>
      <c r="J202" s="18">
        <f>484.22+189.78</f>
        <v>674</v>
      </c>
      <c r="K202" s="18">
        <v>0</v>
      </c>
      <c r="L202" s="19">
        <f t="shared" ref="L202:L208" si="0">SUM(F202:K202)</f>
        <v>380237.95999999996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70321.71+31123.48</f>
        <v>101445.19</v>
      </c>
      <c r="G203" s="18">
        <f>24643.92+19848.82</f>
        <v>44492.74</v>
      </c>
      <c r="H203" s="18">
        <f>29557.78+10779.22</f>
        <v>40337</v>
      </c>
      <c r="I203" s="18">
        <f>22425.66+34717.66</f>
        <v>57143.320000000007</v>
      </c>
      <c r="J203" s="18">
        <f>27868.51</f>
        <v>27868.51</v>
      </c>
      <c r="K203" s="18">
        <v>512.86</v>
      </c>
      <c r="L203" s="19">
        <f t="shared" si="0"/>
        <v>271799.62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102398.46</v>
      </c>
      <c r="G204" s="18">
        <v>39568.69</v>
      </c>
      <c r="H204" s="18">
        <v>24407.37</v>
      </c>
      <c r="I204" s="18">
        <v>1203.02</v>
      </c>
      <c r="J204" s="18">
        <v>1378.38</v>
      </c>
      <c r="K204" s="18">
        <v>4345.8100000000004</v>
      </c>
      <c r="L204" s="19">
        <f t="shared" si="0"/>
        <v>173301.73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237906.48</v>
      </c>
      <c r="G205" s="18">
        <v>122612.48</v>
      </c>
      <c r="H205" s="18">
        <v>4688.1099999999997</v>
      </c>
      <c r="I205" s="18">
        <v>2021.58</v>
      </c>
      <c r="J205" s="18">
        <v>0</v>
      </c>
      <c r="K205" s="18">
        <v>2986.31</v>
      </c>
      <c r="L205" s="19">
        <f t="shared" si="0"/>
        <v>370214.96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58443.22</v>
      </c>
      <c r="G206" s="18">
        <v>31600.93</v>
      </c>
      <c r="H206" s="18">
        <v>17887.28</v>
      </c>
      <c r="I206" s="18">
        <v>1143.94</v>
      </c>
      <c r="J206" s="18">
        <v>333.42</v>
      </c>
      <c r="K206" s="18">
        <v>867.23</v>
      </c>
      <c r="L206" s="19">
        <f t="shared" si="0"/>
        <v>110276.01999999999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181550.96+15016.6</f>
        <v>196567.56</v>
      </c>
      <c r="G207" s="18">
        <f>95573.86+8513.98</f>
        <v>104087.84</v>
      </c>
      <c r="H207" s="18">
        <f>136350.37+30634.05</f>
        <v>166984.41999999998</v>
      </c>
      <c r="I207" s="18">
        <f>128079.2+2872.17</f>
        <v>130951.37</v>
      </c>
      <c r="J207" s="18">
        <f>1484+860.55</f>
        <v>2344.5500000000002</v>
      </c>
      <c r="K207" s="18">
        <v>81.12</v>
      </c>
      <c r="L207" s="19">
        <f t="shared" si="0"/>
        <v>601016.86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168274.93+891.14+137831.75</f>
        <v>306997.82</v>
      </c>
      <c r="I208" s="18"/>
      <c r="J208" s="18"/>
      <c r="K208" s="18"/>
      <c r="L208" s="19">
        <f t="shared" si="0"/>
        <v>306997.82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79987.73</v>
      </c>
      <c r="G209" s="18">
        <v>45732.06</v>
      </c>
      <c r="H209" s="18">
        <f>40362.11+18944.18</f>
        <v>59306.29</v>
      </c>
      <c r="I209" s="18">
        <f>8614.82+11352.8</f>
        <v>19967.62</v>
      </c>
      <c r="J209" s="18">
        <f>23837.24+70495.12</f>
        <v>94332.36</v>
      </c>
      <c r="K209" s="18">
        <v>534.42999999999995</v>
      </c>
      <c r="L209" s="19">
        <f>SUM(F209:K209)</f>
        <v>299860.49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3332136.41</v>
      </c>
      <c r="G211" s="41">
        <f t="shared" si="1"/>
        <v>1414708.0699999998</v>
      </c>
      <c r="H211" s="41">
        <f t="shared" si="1"/>
        <v>713588.19</v>
      </c>
      <c r="I211" s="41">
        <f t="shared" si="1"/>
        <v>268006.55000000005</v>
      </c>
      <c r="J211" s="41">
        <f t="shared" si="1"/>
        <v>148883.54</v>
      </c>
      <c r="K211" s="41">
        <f t="shared" si="1"/>
        <v>15148.529999999999</v>
      </c>
      <c r="L211" s="41">
        <f t="shared" si="1"/>
        <v>5892471.29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1739069.64+28702.71</f>
        <v>1767772.3499999999</v>
      </c>
      <c r="G215" s="18">
        <f>838726.48+5426.75</f>
        <v>844153.23</v>
      </c>
      <c r="H215" s="18">
        <v>18098.169999999998</v>
      </c>
      <c r="I215" s="18">
        <v>48360.35</v>
      </c>
      <c r="J215" s="18">
        <v>14144.84</v>
      </c>
      <c r="K215" s="18">
        <f>278</f>
        <v>278</v>
      </c>
      <c r="L215" s="19">
        <f>SUM(F215:K215)</f>
        <v>2692806.94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446935.52+22831.92</f>
        <v>469767.44</v>
      </c>
      <c r="G216" s="18">
        <f>132394.44+8690.14</f>
        <v>141084.58000000002</v>
      </c>
      <c r="H216" s="18">
        <f>89610.21+39846.05</f>
        <v>129456.26000000001</v>
      </c>
      <c r="I216" s="18">
        <f>3627.04+152.42</f>
        <v>3779.46</v>
      </c>
      <c r="J216" s="18">
        <f>3720.69+341.73</f>
        <v>4062.42</v>
      </c>
      <c r="K216" s="18">
        <v>3790.63</v>
      </c>
      <c r="L216" s="19">
        <f>SUM(F216:K216)</f>
        <v>751940.79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50888.66</v>
      </c>
      <c r="G218" s="18">
        <v>8838.26</v>
      </c>
      <c r="H218" s="18">
        <v>5588</v>
      </c>
      <c r="I218" s="18">
        <v>3890.26</v>
      </c>
      <c r="J218" s="18"/>
      <c r="K218" s="18">
        <v>1085</v>
      </c>
      <c r="L218" s="19">
        <f>SUM(F218:K218)</f>
        <v>70290.180000000008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194456.44+164458.17</f>
        <v>358914.61</v>
      </c>
      <c r="G220" s="18">
        <f>94284.71+64025.6</f>
        <v>158310.31</v>
      </c>
      <c r="H220" s="18">
        <f>2185+23500.66</f>
        <v>25685.66</v>
      </c>
      <c r="I220" s="18">
        <f>4371.48+1612.52</f>
        <v>5984</v>
      </c>
      <c r="J220" s="18">
        <f>517+258.34</f>
        <v>775.33999999999992</v>
      </c>
      <c r="K220" s="18"/>
      <c r="L220" s="19">
        <f t="shared" ref="L220:L226" si="2">SUM(F220:K220)</f>
        <v>549669.91999999993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48256.71+26742.46</f>
        <v>74999.17</v>
      </c>
      <c r="G221" s="18">
        <f>33276.56+17054.85</f>
        <v>50331.409999999996</v>
      </c>
      <c r="H221" s="18">
        <f>42139.15+9261.91</f>
        <v>51401.06</v>
      </c>
      <c r="I221" s="18">
        <f>16109.44+29830.72</f>
        <v>45940.160000000003</v>
      </c>
      <c r="J221" s="18">
        <f>11961.3</f>
        <v>11961.3</v>
      </c>
      <c r="K221" s="18">
        <v>440.67</v>
      </c>
      <c r="L221" s="19">
        <f t="shared" si="2"/>
        <v>235073.77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110806.54</v>
      </c>
      <c r="G222" s="18">
        <v>39425.07</v>
      </c>
      <c r="H222" s="18">
        <v>32157.21</v>
      </c>
      <c r="I222" s="18">
        <v>1514.41</v>
      </c>
      <c r="J222" s="18">
        <v>1876.27</v>
      </c>
      <c r="K222" s="18">
        <v>5757.6</v>
      </c>
      <c r="L222" s="19">
        <f t="shared" si="2"/>
        <v>191537.09999999998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271890.44</v>
      </c>
      <c r="G223" s="18">
        <v>123748.18</v>
      </c>
      <c r="H223" s="18">
        <v>5381.67</v>
      </c>
      <c r="I223" s="18">
        <v>1893.48</v>
      </c>
      <c r="J223" s="18">
        <v>0</v>
      </c>
      <c r="K223" s="18">
        <v>5637.33</v>
      </c>
      <c r="L223" s="19">
        <f t="shared" si="2"/>
        <v>408551.1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50216.61</v>
      </c>
      <c r="G224" s="18">
        <v>26874.69</v>
      </c>
      <c r="H224" s="18">
        <v>15212.06</v>
      </c>
      <c r="I224" s="18">
        <v>972.85</v>
      </c>
      <c r="J224" s="18">
        <v>283.55</v>
      </c>
      <c r="K224" s="18">
        <v>737.53</v>
      </c>
      <c r="L224" s="19">
        <f>SUM(F224:K224)</f>
        <v>94297.290000000008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124520.9+18387.67</f>
        <v>142908.57</v>
      </c>
      <c r="G225" s="18">
        <f>54751.78+10425.28</f>
        <v>65177.06</v>
      </c>
      <c r="H225" s="18">
        <f>152702.01+37511.08+69539.81</f>
        <v>259752.90000000002</v>
      </c>
      <c r="I225" s="18">
        <f>146929.94+3516.94</f>
        <v>150446.88</v>
      </c>
      <c r="J225" s="18">
        <f>10405.36+1053.74</f>
        <v>11459.1</v>
      </c>
      <c r="K225" s="18">
        <v>99.33</v>
      </c>
      <c r="L225" s="19">
        <f t="shared" si="2"/>
        <v>629843.84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98747.04+130880.5+131918.18-69539.81</f>
        <v>292005.90999999997</v>
      </c>
      <c r="I226" s="18"/>
      <c r="J226" s="18"/>
      <c r="K226" s="18"/>
      <c r="L226" s="19">
        <f t="shared" si="2"/>
        <v>292005.90999999997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68728.460000000006</v>
      </c>
      <c r="G227" s="18">
        <v>39294.699999999997</v>
      </c>
      <c r="H227" s="18">
        <f>26635.94+34680.64</f>
        <v>61316.58</v>
      </c>
      <c r="I227" s="18">
        <f>9675.29+7402.18</f>
        <v>17077.47</v>
      </c>
      <c r="J227" s="18">
        <f>50801.5+20481.85</f>
        <v>71283.350000000006</v>
      </c>
      <c r="K227" s="18">
        <v>459.2</v>
      </c>
      <c r="L227" s="19">
        <f>SUM(F227:K227)</f>
        <v>258159.76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3366892.8499999996</v>
      </c>
      <c r="G229" s="41">
        <f>SUM(G215:G228)</f>
        <v>1497237.49</v>
      </c>
      <c r="H229" s="41">
        <f>SUM(H215:H228)</f>
        <v>896055.47999999986</v>
      </c>
      <c r="I229" s="41">
        <f>SUM(I215:I228)</f>
        <v>279859.32000000007</v>
      </c>
      <c r="J229" s="41">
        <f>SUM(J215:J228)</f>
        <v>115846.17000000001</v>
      </c>
      <c r="K229" s="41">
        <f t="shared" si="3"/>
        <v>18285.290000000005</v>
      </c>
      <c r="L229" s="41">
        <f t="shared" si="3"/>
        <v>6174176.5999999987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1855566.29+30386.39</f>
        <v>1885952.68</v>
      </c>
      <c r="G233" s="18">
        <f>771929.88+5745.08</f>
        <v>777674.96</v>
      </c>
      <c r="H233" s="18">
        <v>31370.68</v>
      </c>
      <c r="I233" s="18">
        <v>72109.789999999994</v>
      </c>
      <c r="J233" s="18">
        <v>35350.639999999999</v>
      </c>
      <c r="K233" s="18">
        <v>3417.08</v>
      </c>
      <c r="L233" s="19">
        <f>SUM(F233:K233)</f>
        <v>2805875.83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443431.41+27781.49</f>
        <v>471212.89999999997</v>
      </c>
      <c r="G234" s="18">
        <f>88885.11+10574.02</f>
        <v>99459.13</v>
      </c>
      <c r="H234" s="18">
        <f>335136.25+48484.01</f>
        <v>383620.26</v>
      </c>
      <c r="I234" s="18">
        <f>4407.24+185.46</f>
        <v>4592.7</v>
      </c>
      <c r="J234" s="18">
        <f>10122.68+415.81</f>
        <v>10538.49</v>
      </c>
      <c r="K234" s="18">
        <v>4612.38</v>
      </c>
      <c r="L234" s="19">
        <f>SUM(F234:K234)</f>
        <v>974035.86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30613.57</v>
      </c>
      <c r="I235" s="18"/>
      <c r="J235" s="18"/>
      <c r="K235" s="18"/>
      <c r="L235" s="19">
        <f>SUM(F235:K235)</f>
        <v>30613.57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218271.98</v>
      </c>
      <c r="G236" s="18">
        <v>53603.42</v>
      </c>
      <c r="H236" s="18">
        <v>58171.1</v>
      </c>
      <c r="I236" s="18">
        <v>42191.8</v>
      </c>
      <c r="J236" s="18">
        <v>17315.330000000002</v>
      </c>
      <c r="K236" s="18">
        <v>17018.88</v>
      </c>
      <c r="L236" s="19">
        <f>SUM(F236:K236)</f>
        <v>406572.51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329273.36+174105.15</f>
        <v>503378.51</v>
      </c>
      <c r="G238" s="18">
        <f>110968.57+67781.29</f>
        <v>178749.86</v>
      </c>
      <c r="H238" s="18">
        <f>13784.21+24879.19</f>
        <v>38663.399999999994</v>
      </c>
      <c r="I238" s="18">
        <f>4178.84+1707.11</f>
        <v>5885.95</v>
      </c>
      <c r="J238" s="18">
        <v>273.49</v>
      </c>
      <c r="K238" s="18">
        <v>2421.9899999999998</v>
      </c>
      <c r="L238" s="19">
        <f t="shared" ref="L238:L244" si="4">SUM(F238:K238)</f>
        <v>729373.2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79608.39+33405.26</f>
        <v>113013.65</v>
      </c>
      <c r="G239" s="18">
        <f>37984.78+21304.01</f>
        <v>59288.789999999994</v>
      </c>
      <c r="H239" s="18">
        <f>23523.98+11569.49</f>
        <v>35093.47</v>
      </c>
      <c r="I239" s="18">
        <f>21400+37262.94</f>
        <v>58662.94</v>
      </c>
      <c r="J239" s="18">
        <v>68163.509999999995</v>
      </c>
      <c r="K239" s="18">
        <v>550.46</v>
      </c>
      <c r="L239" s="19">
        <f t="shared" si="4"/>
        <v>334772.82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123397.09</v>
      </c>
      <c r="G240" s="18">
        <v>44814.3</v>
      </c>
      <c r="H240" s="18">
        <v>34270.81</v>
      </c>
      <c r="I240" s="18">
        <v>1629.49</v>
      </c>
      <c r="J240" s="18">
        <v>1986.33</v>
      </c>
      <c r="K240" s="18">
        <v>6129.01</v>
      </c>
      <c r="L240" s="19">
        <f t="shared" si="4"/>
        <v>212227.03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331321.19</v>
      </c>
      <c r="G241" s="18">
        <v>125927.46</v>
      </c>
      <c r="H241" s="18">
        <v>17842.61</v>
      </c>
      <c r="I241" s="18">
        <v>1974.25</v>
      </c>
      <c r="J241" s="18">
        <v>0</v>
      </c>
      <c r="K241" s="18">
        <v>17120.009999999998</v>
      </c>
      <c r="L241" s="19">
        <f t="shared" si="4"/>
        <v>494185.52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62727.91</v>
      </c>
      <c r="G242" s="18">
        <v>33917.71</v>
      </c>
      <c r="H242" s="18">
        <v>19198.669999999998</v>
      </c>
      <c r="I242" s="18">
        <v>1227.81</v>
      </c>
      <c r="J242" s="18">
        <v>357.86</v>
      </c>
      <c r="K242" s="18">
        <v>930.81</v>
      </c>
      <c r="L242" s="19">
        <f>SUM(F242:K242)</f>
        <v>118360.76999999999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185140.19+27887.97</f>
        <v>213028.16</v>
      </c>
      <c r="G243" s="18">
        <f>90680.83+15811.68</f>
        <v>106492.51000000001</v>
      </c>
      <c r="H243" s="18">
        <f>168650.52+56891.8</f>
        <v>225542.32</v>
      </c>
      <c r="I243" s="18">
        <f>243918.13+5334.03</f>
        <v>249252.16</v>
      </c>
      <c r="J243" s="18">
        <f>4017.65+1598.17</f>
        <v>5615.82</v>
      </c>
      <c r="K243" s="18">
        <v>150</v>
      </c>
      <c r="L243" s="19">
        <f t="shared" si="4"/>
        <v>800080.97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98747.04+130880.5+131918.18</f>
        <v>361545.72</v>
      </c>
      <c r="I244" s="18"/>
      <c r="J244" s="18"/>
      <c r="K244" s="18"/>
      <c r="L244" s="19">
        <f t="shared" si="4"/>
        <v>361545.72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85851.93</v>
      </c>
      <c r="G245" s="18">
        <v>49084.85</v>
      </c>
      <c r="H245" s="18">
        <f>23922.17+43321.21</f>
        <v>67243.38</v>
      </c>
      <c r="I245" s="18">
        <f>10029.6+9246.43</f>
        <v>19276.03</v>
      </c>
      <c r="J245" s="18">
        <f>64794+25584.84</f>
        <v>90378.84</v>
      </c>
      <c r="K245" s="18">
        <v>573.61</v>
      </c>
      <c r="L245" s="19">
        <f>SUM(F245:K245)</f>
        <v>312408.64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4008156.0000000005</v>
      </c>
      <c r="G247" s="41">
        <f t="shared" si="5"/>
        <v>1529012.9900000002</v>
      </c>
      <c r="H247" s="41">
        <f t="shared" si="5"/>
        <v>1303175.9900000002</v>
      </c>
      <c r="I247" s="41">
        <f t="shared" si="5"/>
        <v>456802.92000000004</v>
      </c>
      <c r="J247" s="41">
        <f t="shared" si="5"/>
        <v>229980.30999999997</v>
      </c>
      <c r="K247" s="41">
        <f t="shared" si="5"/>
        <v>52924.229999999996</v>
      </c>
      <c r="L247" s="41">
        <f t="shared" si="5"/>
        <v>7580052.4399999985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5520.76</v>
      </c>
      <c r="G250" s="18">
        <f>2024.64+1293</f>
        <v>3317.6400000000003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8838.4000000000015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f>21927+27612+36252+2998.38</f>
        <v>88789.38</v>
      </c>
      <c r="K255" s="18"/>
      <c r="L255" s="19">
        <f t="shared" si="6"/>
        <v>88789.38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5520.76</v>
      </c>
      <c r="G256" s="41">
        <f t="shared" si="7"/>
        <v>3317.6400000000003</v>
      </c>
      <c r="H256" s="41">
        <f t="shared" si="7"/>
        <v>0</v>
      </c>
      <c r="I256" s="41">
        <f t="shared" si="7"/>
        <v>0</v>
      </c>
      <c r="J256" s="41">
        <f t="shared" si="7"/>
        <v>88789.38</v>
      </c>
      <c r="K256" s="41">
        <f t="shared" si="7"/>
        <v>0</v>
      </c>
      <c r="L256" s="41">
        <f>SUM(F256:K256)</f>
        <v>97627.78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10712706.02</v>
      </c>
      <c r="G257" s="41">
        <f t="shared" si="8"/>
        <v>4444276.1899999995</v>
      </c>
      <c r="H257" s="41">
        <f t="shared" si="8"/>
        <v>2912819.66</v>
      </c>
      <c r="I257" s="41">
        <f t="shared" si="8"/>
        <v>1004668.7900000002</v>
      </c>
      <c r="J257" s="41">
        <f t="shared" si="8"/>
        <v>583499.4</v>
      </c>
      <c r="K257" s="41">
        <f t="shared" si="8"/>
        <v>86358.05</v>
      </c>
      <c r="L257" s="41">
        <f t="shared" si="8"/>
        <v>19744328.109999999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10712706.02</v>
      </c>
      <c r="G271" s="42">
        <f t="shared" si="11"/>
        <v>4444276.1899999995</v>
      </c>
      <c r="H271" s="42">
        <f t="shared" si="11"/>
        <v>2912819.66</v>
      </c>
      <c r="I271" s="42">
        <f t="shared" si="11"/>
        <v>1004668.7900000002</v>
      </c>
      <c r="J271" s="42">
        <f t="shared" si="11"/>
        <v>583499.4</v>
      </c>
      <c r="K271" s="42">
        <f t="shared" si="11"/>
        <v>86358.05</v>
      </c>
      <c r="L271" s="42">
        <f t="shared" si="11"/>
        <v>19744328.109999999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31557.65+373.28</f>
        <v>31930.93</v>
      </c>
      <c r="G276" s="18">
        <f>2948.99+34.73</f>
        <v>2983.72</v>
      </c>
      <c r="H276" s="18">
        <v>263</v>
      </c>
      <c r="I276" s="18">
        <f>148.76+394.5</f>
        <v>543.26</v>
      </c>
      <c r="J276" s="18"/>
      <c r="K276" s="18"/>
      <c r="L276" s="19">
        <f>SUM(F276:K276)</f>
        <v>35720.910000000003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4338.16+480.38</f>
        <v>4818.54</v>
      </c>
      <c r="G277" s="18">
        <f>350.28+43.63</f>
        <v>393.90999999999997</v>
      </c>
      <c r="H277" s="18"/>
      <c r="I277" s="18">
        <v>2342.41</v>
      </c>
      <c r="J277" s="18"/>
      <c r="K277" s="18"/>
      <c r="L277" s="19">
        <f>SUM(F277:K277)</f>
        <v>7554.86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20723.61</v>
      </c>
      <c r="G281" s="18">
        <v>9417.94</v>
      </c>
      <c r="H281" s="18"/>
      <c r="I281" s="18"/>
      <c r="J281" s="18"/>
      <c r="K281" s="18"/>
      <c r="L281" s="19">
        <f t="shared" ref="L281:L287" si="12">SUM(F281:K281)</f>
        <v>30141.550000000003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4937.2</v>
      </c>
      <c r="G282" s="18">
        <v>947</v>
      </c>
      <c r="H282" s="18">
        <f>500+2915.51</f>
        <v>3415.51</v>
      </c>
      <c r="I282" s="18">
        <v>989.05</v>
      </c>
      <c r="J282" s="18"/>
      <c r="K282" s="18"/>
      <c r="L282" s="19">
        <f t="shared" si="12"/>
        <v>10288.759999999998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4056</v>
      </c>
      <c r="I288" s="18"/>
      <c r="J288" s="18">
        <v>33569.81</v>
      </c>
      <c r="K288" s="18"/>
      <c r="L288" s="19">
        <f>SUM(F288:K288)</f>
        <v>37625.81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62410.28</v>
      </c>
      <c r="G290" s="42">
        <f t="shared" si="13"/>
        <v>13742.57</v>
      </c>
      <c r="H290" s="42">
        <f t="shared" si="13"/>
        <v>7734.51</v>
      </c>
      <c r="I290" s="42">
        <f t="shared" si="13"/>
        <v>3874.7200000000003</v>
      </c>
      <c r="J290" s="42">
        <f t="shared" si="13"/>
        <v>33569.81</v>
      </c>
      <c r="K290" s="42">
        <f t="shared" si="13"/>
        <v>0</v>
      </c>
      <c r="L290" s="41">
        <f t="shared" si="13"/>
        <v>121331.89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2100+508.12</f>
        <v>2608.12</v>
      </c>
      <c r="G295" s="18">
        <f>496.08+47.28</f>
        <v>543.36</v>
      </c>
      <c r="H295" s="18">
        <v>358</v>
      </c>
      <c r="I295" s="18">
        <v>537</v>
      </c>
      <c r="J295" s="18"/>
      <c r="K295" s="18"/>
      <c r="L295" s="19">
        <f>SUM(F295:K295)</f>
        <v>4046.48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29420.08+375.38</f>
        <v>29795.460000000003</v>
      </c>
      <c r="G296" s="18">
        <f>24634.72+34.1</f>
        <v>24668.82</v>
      </c>
      <c r="H296" s="18"/>
      <c r="I296" s="18"/>
      <c r="J296" s="18"/>
      <c r="K296" s="18"/>
      <c r="L296" s="19">
        <f>SUM(F296:K296)</f>
        <v>54464.28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28209.33</v>
      </c>
      <c r="G300" s="18">
        <v>12819.85</v>
      </c>
      <c r="H300" s="18"/>
      <c r="I300" s="18"/>
      <c r="J300" s="18"/>
      <c r="K300" s="18"/>
      <c r="L300" s="19">
        <f t="shared" ref="L300:L306" si="14">SUM(F300:K300)</f>
        <v>41029.18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4242.2299999999996</v>
      </c>
      <c r="G301" s="18">
        <v>813.7</v>
      </c>
      <c r="H301" s="18">
        <v>2505.11</v>
      </c>
      <c r="I301" s="18">
        <v>849.83</v>
      </c>
      <c r="J301" s="18"/>
      <c r="K301" s="18"/>
      <c r="L301" s="19">
        <f t="shared" si="14"/>
        <v>8410.869999999999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>
        <v>5151</v>
      </c>
      <c r="I307" s="18"/>
      <c r="J307" s="18">
        <v>8721</v>
      </c>
      <c r="K307" s="18"/>
      <c r="L307" s="19">
        <f>SUM(F307:K307)</f>
        <v>13872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64855.14</v>
      </c>
      <c r="G309" s="42">
        <f t="shared" si="15"/>
        <v>38845.729999999996</v>
      </c>
      <c r="H309" s="42">
        <f t="shared" si="15"/>
        <v>8014.1100000000006</v>
      </c>
      <c r="I309" s="42">
        <f t="shared" si="15"/>
        <v>1386.83</v>
      </c>
      <c r="J309" s="42">
        <f t="shared" si="15"/>
        <v>8721</v>
      </c>
      <c r="K309" s="42">
        <f t="shared" si="15"/>
        <v>0</v>
      </c>
      <c r="L309" s="41">
        <f t="shared" si="15"/>
        <v>121822.81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537.91999999999996</v>
      </c>
      <c r="G314" s="18">
        <v>50.05</v>
      </c>
      <c r="H314" s="18">
        <v>379</v>
      </c>
      <c r="I314" s="18">
        <v>568.5</v>
      </c>
      <c r="J314" s="18"/>
      <c r="K314" s="18"/>
      <c r="L314" s="19">
        <f>SUM(F314:K314)</f>
        <v>1535.4699999999998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68851.73+456.75</f>
        <v>69308.479999999996</v>
      </c>
      <c r="G315" s="18">
        <f>36744.17+41.49</f>
        <v>36785.659999999996</v>
      </c>
      <c r="H315" s="18"/>
      <c r="I315" s="18"/>
      <c r="J315" s="18"/>
      <c r="K315" s="18"/>
      <c r="L315" s="19">
        <f>SUM(F315:K315)</f>
        <v>106094.13999999998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29864.06</v>
      </c>
      <c r="G319" s="18">
        <v>13571.86</v>
      </c>
      <c r="H319" s="18"/>
      <c r="I319" s="18"/>
      <c r="J319" s="18"/>
      <c r="K319" s="18"/>
      <c r="L319" s="19">
        <f t="shared" ref="L319:L325" si="16">SUM(F319:K319)</f>
        <v>43435.92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5299.17</v>
      </c>
      <c r="G320" s="18">
        <v>1016.43</v>
      </c>
      <c r="H320" s="18">
        <v>3129.26</v>
      </c>
      <c r="I320" s="18">
        <v>1061.56</v>
      </c>
      <c r="J320" s="18"/>
      <c r="K320" s="18"/>
      <c r="L320" s="19">
        <f t="shared" si="16"/>
        <v>10506.42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105009.62999999999</v>
      </c>
      <c r="G328" s="42">
        <f t="shared" si="17"/>
        <v>51424</v>
      </c>
      <c r="H328" s="42">
        <f t="shared" si="17"/>
        <v>3508.26</v>
      </c>
      <c r="I328" s="42">
        <f t="shared" si="17"/>
        <v>1630.06</v>
      </c>
      <c r="J328" s="42">
        <f t="shared" si="17"/>
        <v>0</v>
      </c>
      <c r="K328" s="42">
        <f t="shared" si="17"/>
        <v>0</v>
      </c>
      <c r="L328" s="41">
        <f t="shared" si="17"/>
        <v>161571.94999999998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232275.05</v>
      </c>
      <c r="G338" s="41">
        <f t="shared" si="20"/>
        <v>104012.29999999999</v>
      </c>
      <c r="H338" s="41">
        <f t="shared" si="20"/>
        <v>19256.88</v>
      </c>
      <c r="I338" s="41">
        <f t="shared" si="20"/>
        <v>6891.6100000000006</v>
      </c>
      <c r="J338" s="41">
        <f t="shared" si="20"/>
        <v>42290.81</v>
      </c>
      <c r="K338" s="41">
        <f t="shared" si="20"/>
        <v>0</v>
      </c>
      <c r="L338" s="41">
        <f t="shared" si="20"/>
        <v>404726.65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232275.05</v>
      </c>
      <c r="G352" s="41">
        <f>G338</f>
        <v>104012.29999999999</v>
      </c>
      <c r="H352" s="41">
        <f>H338</f>
        <v>19256.88</v>
      </c>
      <c r="I352" s="41">
        <f>I338</f>
        <v>6891.6100000000006</v>
      </c>
      <c r="J352" s="41">
        <f>J338</f>
        <v>42290.81</v>
      </c>
      <c r="K352" s="47">
        <f>K338+K351</f>
        <v>0</v>
      </c>
      <c r="L352" s="41">
        <f>L338+L351</f>
        <v>404726.65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33858.05+19516.6</f>
        <v>53374.65</v>
      </c>
      <c r="G358" s="18">
        <f>4016.92+4960.46</f>
        <v>8977.380000000001</v>
      </c>
      <c r="H358" s="18">
        <f>959.23+537.27</f>
        <v>1496.5</v>
      </c>
      <c r="I358" s="18">
        <f>50342.71+7456.14</f>
        <v>57798.85</v>
      </c>
      <c r="J358" s="18">
        <v>132</v>
      </c>
      <c r="K358" s="18">
        <f>395.17+59.16</f>
        <v>454.33000000000004</v>
      </c>
      <c r="L358" s="13">
        <f>SUM(F358:K358)</f>
        <v>122233.71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36397.18+19516.6</f>
        <v>55913.78</v>
      </c>
      <c r="G359" s="18">
        <f>4041.83+4960.46</f>
        <v>9002.2900000000009</v>
      </c>
      <c r="H359" s="18">
        <f>1800+537.31</f>
        <v>2337.31</v>
      </c>
      <c r="I359" s="18">
        <f>77507.53+7456.14</f>
        <v>84963.67</v>
      </c>
      <c r="J359" s="18">
        <v>159.47999999999999</v>
      </c>
      <c r="K359" s="18">
        <f>444.5+59.16</f>
        <v>503.65999999999997</v>
      </c>
      <c r="L359" s="19">
        <f>SUM(F359:K359)</f>
        <v>152880.19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58038.85+19516.6-3893.37</f>
        <v>73662.080000000002</v>
      </c>
      <c r="G360" s="18">
        <f>28265.6+4960.46</f>
        <v>33226.06</v>
      </c>
      <c r="H360" s="18">
        <f>8342.33+537.27</f>
        <v>8879.6</v>
      </c>
      <c r="I360" s="18">
        <f>110119.75+7456.14</f>
        <v>117575.89</v>
      </c>
      <c r="J360" s="18">
        <v>23715.23</v>
      </c>
      <c r="K360" s="18">
        <f>330+59.16</f>
        <v>389.15999999999997</v>
      </c>
      <c r="L360" s="19">
        <f>SUM(F360:K360)</f>
        <v>257448.02000000002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182950.51</v>
      </c>
      <c r="G362" s="47">
        <f t="shared" si="22"/>
        <v>51205.729999999996</v>
      </c>
      <c r="H362" s="47">
        <f t="shared" si="22"/>
        <v>12713.41</v>
      </c>
      <c r="I362" s="47">
        <f t="shared" si="22"/>
        <v>260338.40999999997</v>
      </c>
      <c r="J362" s="47">
        <f t="shared" si="22"/>
        <v>24006.71</v>
      </c>
      <c r="K362" s="47">
        <f t="shared" si="22"/>
        <v>1347.15</v>
      </c>
      <c r="L362" s="47">
        <f t="shared" si="22"/>
        <v>532561.92000000004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47085.02+7427</f>
        <v>54512.02</v>
      </c>
      <c r="G367" s="18">
        <f>73592.08+7427</f>
        <v>81019.08</v>
      </c>
      <c r="H367" s="18">
        <f>104573.57+7427</f>
        <v>112000.57</v>
      </c>
      <c r="I367" s="56">
        <f>SUM(F367:H367)</f>
        <v>247531.67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3257.69</v>
      </c>
      <c r="G368" s="63">
        <v>3915.45</v>
      </c>
      <c r="H368" s="63">
        <f>5546.18+87.42</f>
        <v>5633.6</v>
      </c>
      <c r="I368" s="56">
        <f>SUM(F368:H368)</f>
        <v>12806.74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57769.71</v>
      </c>
      <c r="G369" s="47">
        <f>SUM(G367:G368)</f>
        <v>84934.53</v>
      </c>
      <c r="H369" s="47">
        <f>SUM(H367:H368)</f>
        <v>117634.17000000001</v>
      </c>
      <c r="I369" s="47">
        <f>SUM(I367:I368)</f>
        <v>260338.41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123.75</v>
      </c>
      <c r="I396" s="18"/>
      <c r="J396" s="24" t="s">
        <v>289</v>
      </c>
      <c r="K396" s="24" t="s">
        <v>289</v>
      </c>
      <c r="L396" s="56">
        <f t="shared" si="26"/>
        <v>123.75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234.97</v>
      </c>
      <c r="I397" s="18"/>
      <c r="J397" s="24" t="s">
        <v>289</v>
      </c>
      <c r="K397" s="24" t="s">
        <v>289</v>
      </c>
      <c r="L397" s="56">
        <f t="shared" si="26"/>
        <v>234.97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358.72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358.72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358.72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358.72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155217.79</v>
      </c>
      <c r="G439" s="18"/>
      <c r="H439" s="18"/>
      <c r="I439" s="56">
        <f t="shared" ref="I439:I445" si="33">SUM(F439:H439)</f>
        <v>155217.79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155217.79</v>
      </c>
      <c r="G446" s="13">
        <f>SUM(G439:G445)</f>
        <v>0</v>
      </c>
      <c r="H446" s="13">
        <f>SUM(H439:H445)</f>
        <v>0</v>
      </c>
      <c r="I446" s="13">
        <f>SUM(I439:I445)</f>
        <v>155217.79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155217.79</v>
      </c>
      <c r="G459" s="18"/>
      <c r="H459" s="18"/>
      <c r="I459" s="56">
        <f t="shared" si="34"/>
        <v>155217.79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155217.79</v>
      </c>
      <c r="G460" s="83">
        <f>SUM(G454:G459)</f>
        <v>0</v>
      </c>
      <c r="H460" s="83">
        <f>SUM(H454:H459)</f>
        <v>0</v>
      </c>
      <c r="I460" s="83">
        <f>SUM(I454:I459)</f>
        <v>155217.79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155217.79</v>
      </c>
      <c r="G461" s="42">
        <f>G452+G460</f>
        <v>0</v>
      </c>
      <c r="H461" s="42">
        <f>H452+H460</f>
        <v>0</v>
      </c>
      <c r="I461" s="42">
        <f>I452+I460</f>
        <v>155217.79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566012.98</v>
      </c>
      <c r="G465" s="18">
        <v>112919</v>
      </c>
      <c r="H465" s="18">
        <v>0</v>
      </c>
      <c r="I465" s="18"/>
      <c r="J465" s="18">
        <v>154859.07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19527729</v>
      </c>
      <c r="G468" s="18">
        <v>528852.9</v>
      </c>
      <c r="H468" s="18">
        <v>404726.65</v>
      </c>
      <c r="I468" s="18"/>
      <c r="J468" s="18">
        <v>358.72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19527729</v>
      </c>
      <c r="G470" s="53">
        <f>SUM(G468:G469)</f>
        <v>528852.9</v>
      </c>
      <c r="H470" s="53">
        <f>SUM(H468:H469)</f>
        <v>404726.65</v>
      </c>
      <c r="I470" s="53">
        <f>SUM(I468:I469)</f>
        <v>0</v>
      </c>
      <c r="J470" s="53">
        <f>SUM(J468:J469)</f>
        <v>358.72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19744328.109999999</v>
      </c>
      <c r="G472" s="18">
        <v>532561.92000000004</v>
      </c>
      <c r="H472" s="18">
        <v>404726.65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19744328.109999999</v>
      </c>
      <c r="G474" s="53">
        <f>SUM(G472:G473)</f>
        <v>532561.92000000004</v>
      </c>
      <c r="H474" s="53">
        <f>SUM(H472:H473)</f>
        <v>404726.65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349413.87000000104</v>
      </c>
      <c r="G476" s="53">
        <f>(G465+G470)- G474</f>
        <v>109209.97999999998</v>
      </c>
      <c r="H476" s="53">
        <f>(H465+H470)- H474</f>
        <v>0</v>
      </c>
      <c r="I476" s="53">
        <f>(I465+I470)- I474</f>
        <v>0</v>
      </c>
      <c r="J476" s="53">
        <f>(J465+J470)- J474</f>
        <v>155217.79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702600</v>
      </c>
      <c r="G521" s="18">
        <v>200849</v>
      </c>
      <c r="H521" s="18">
        <v>53806</v>
      </c>
      <c r="I521" s="18">
        <v>8436</v>
      </c>
      <c r="J521" s="18">
        <v>11644</v>
      </c>
      <c r="K521" s="18">
        <v>770</v>
      </c>
      <c r="L521" s="88">
        <f>SUM(F521:K521)</f>
        <v>978105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460335</v>
      </c>
      <c r="G522" s="18">
        <v>140430</v>
      </c>
      <c r="H522" s="18">
        <v>129970</v>
      </c>
      <c r="I522" s="18">
        <v>3656</v>
      </c>
      <c r="J522" s="18">
        <v>7565</v>
      </c>
      <c r="K522" s="18"/>
      <c r="L522" s="88">
        <f>SUM(F522:K522)</f>
        <v>741956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459604</v>
      </c>
      <c r="G523" s="18">
        <v>98584</v>
      </c>
      <c r="H523" s="18">
        <v>383846</v>
      </c>
      <c r="I523" s="18">
        <v>4442</v>
      </c>
      <c r="J523" s="18">
        <v>14762</v>
      </c>
      <c r="K523" s="18"/>
      <c r="L523" s="88">
        <f>SUM(F523:K523)</f>
        <v>961238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1622539</v>
      </c>
      <c r="G524" s="108">
        <f t="shared" ref="G524:L524" si="36">SUM(G521:G523)</f>
        <v>439863</v>
      </c>
      <c r="H524" s="108">
        <f t="shared" si="36"/>
        <v>567622</v>
      </c>
      <c r="I524" s="108">
        <f t="shared" si="36"/>
        <v>16534</v>
      </c>
      <c r="J524" s="108">
        <f t="shared" si="36"/>
        <v>33971</v>
      </c>
      <c r="K524" s="108">
        <f t="shared" si="36"/>
        <v>770</v>
      </c>
      <c r="L524" s="89">
        <f t="shared" si="36"/>
        <v>2681299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165109</v>
      </c>
      <c r="G526" s="18">
        <v>64265</v>
      </c>
      <c r="H526" s="18">
        <v>23632</v>
      </c>
      <c r="I526" s="18">
        <v>1621</v>
      </c>
      <c r="J526" s="18">
        <v>260</v>
      </c>
      <c r="K526" s="18"/>
      <c r="L526" s="88">
        <f>SUM(F526:K526)</f>
        <v>254887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133004</v>
      </c>
      <c r="G527" s="18">
        <v>51769</v>
      </c>
      <c r="H527" s="18">
        <v>19037</v>
      </c>
      <c r="I527" s="18">
        <v>1306</v>
      </c>
      <c r="J527" s="18">
        <v>209</v>
      </c>
      <c r="K527" s="18"/>
      <c r="L527" s="88">
        <f>SUM(F527:K527)</f>
        <v>205325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160522</v>
      </c>
      <c r="G528" s="18">
        <v>62480</v>
      </c>
      <c r="H528" s="18">
        <v>22975</v>
      </c>
      <c r="I528" s="18">
        <v>1576</v>
      </c>
      <c r="J528" s="18">
        <v>253</v>
      </c>
      <c r="K528" s="18"/>
      <c r="L528" s="88">
        <f>SUM(F528:K528)</f>
        <v>247806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458635</v>
      </c>
      <c r="G529" s="89">
        <f t="shared" ref="G529:L529" si="37">SUM(G526:G528)</f>
        <v>178514</v>
      </c>
      <c r="H529" s="89">
        <f t="shared" si="37"/>
        <v>65644</v>
      </c>
      <c r="I529" s="89">
        <f t="shared" si="37"/>
        <v>4503</v>
      </c>
      <c r="J529" s="89">
        <f t="shared" si="37"/>
        <v>722</v>
      </c>
      <c r="K529" s="89">
        <f t="shared" si="37"/>
        <v>0</v>
      </c>
      <c r="L529" s="89">
        <f t="shared" si="37"/>
        <v>708018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48485</v>
      </c>
      <c r="G531" s="18">
        <v>24491</v>
      </c>
      <c r="H531" s="18">
        <v>1809</v>
      </c>
      <c r="I531" s="18">
        <v>209</v>
      </c>
      <c r="J531" s="18"/>
      <c r="K531" s="18">
        <v>268</v>
      </c>
      <c r="L531" s="88">
        <f>SUM(F531:K531)</f>
        <v>75262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39057</v>
      </c>
      <c r="G532" s="18">
        <v>19729</v>
      </c>
      <c r="H532" s="18">
        <v>1458</v>
      </c>
      <c r="I532" s="18">
        <v>168</v>
      </c>
      <c r="J532" s="18"/>
      <c r="K532" s="18">
        <v>216</v>
      </c>
      <c r="L532" s="88">
        <f>SUM(F532:K532)</f>
        <v>60628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47138</v>
      </c>
      <c r="G533" s="18">
        <v>23811</v>
      </c>
      <c r="H533" s="18">
        <v>1759</v>
      </c>
      <c r="I533" s="18">
        <v>203</v>
      </c>
      <c r="J533" s="18"/>
      <c r="K533" s="18">
        <v>261</v>
      </c>
      <c r="L533" s="88">
        <f>SUM(F533:K533)</f>
        <v>73172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134680</v>
      </c>
      <c r="G534" s="89">
        <f t="shared" ref="G534:L534" si="38">SUM(G531:G533)</f>
        <v>68031</v>
      </c>
      <c r="H534" s="89">
        <f t="shared" si="38"/>
        <v>5026</v>
      </c>
      <c r="I534" s="89">
        <f t="shared" si="38"/>
        <v>580</v>
      </c>
      <c r="J534" s="89">
        <f t="shared" si="38"/>
        <v>0</v>
      </c>
      <c r="K534" s="89">
        <f t="shared" si="38"/>
        <v>745</v>
      </c>
      <c r="L534" s="89">
        <f t="shared" si="38"/>
        <v>209062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364</v>
      </c>
      <c r="I538" s="18"/>
      <c r="J538" s="18"/>
      <c r="K538" s="18"/>
      <c r="L538" s="88">
        <f>SUM(F538:K538)</f>
        <v>364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364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364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137832</v>
      </c>
      <c r="I541" s="18"/>
      <c r="J541" s="18"/>
      <c r="K541" s="18"/>
      <c r="L541" s="88">
        <f>SUM(F541:K541)</f>
        <v>137832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108416</v>
      </c>
      <c r="I542" s="18"/>
      <c r="J542" s="18"/>
      <c r="K542" s="18"/>
      <c r="L542" s="88">
        <f>SUM(F542:K542)</f>
        <v>108416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131918</v>
      </c>
      <c r="I543" s="18"/>
      <c r="J543" s="18"/>
      <c r="K543" s="18"/>
      <c r="L543" s="88">
        <f>SUM(F543:K543)</f>
        <v>131918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378166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378166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2215854</v>
      </c>
      <c r="G545" s="89">
        <f t="shared" ref="G545:L545" si="41">G524+G529+G534+G539+G544</f>
        <v>686408</v>
      </c>
      <c r="H545" s="89">
        <f t="shared" si="41"/>
        <v>1016822</v>
      </c>
      <c r="I545" s="89">
        <f t="shared" si="41"/>
        <v>21617</v>
      </c>
      <c r="J545" s="89">
        <f t="shared" si="41"/>
        <v>34693</v>
      </c>
      <c r="K545" s="89">
        <f t="shared" si="41"/>
        <v>1515</v>
      </c>
      <c r="L545" s="89">
        <f t="shared" si="41"/>
        <v>3976909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978105</v>
      </c>
      <c r="G549" s="87">
        <f>L526</f>
        <v>254887</v>
      </c>
      <c r="H549" s="87">
        <f>L531</f>
        <v>75262</v>
      </c>
      <c r="I549" s="87">
        <f>L536</f>
        <v>0</v>
      </c>
      <c r="J549" s="87">
        <f>L541</f>
        <v>137832</v>
      </c>
      <c r="K549" s="87">
        <f>SUM(F549:J549)</f>
        <v>1446086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741956</v>
      </c>
      <c r="G550" s="87">
        <f>L527</f>
        <v>205325</v>
      </c>
      <c r="H550" s="87">
        <f>L532</f>
        <v>60628</v>
      </c>
      <c r="I550" s="87">
        <f>L537</f>
        <v>0</v>
      </c>
      <c r="J550" s="87">
        <f>L542</f>
        <v>108416</v>
      </c>
      <c r="K550" s="87">
        <f>SUM(F550:J550)</f>
        <v>1116325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961238</v>
      </c>
      <c r="G551" s="87">
        <f>L528</f>
        <v>247806</v>
      </c>
      <c r="H551" s="87">
        <f>L533</f>
        <v>73172</v>
      </c>
      <c r="I551" s="87">
        <f>L538</f>
        <v>364</v>
      </c>
      <c r="J551" s="87">
        <f>L543</f>
        <v>131918</v>
      </c>
      <c r="K551" s="87">
        <f>SUM(F551:J551)</f>
        <v>1414498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2681299</v>
      </c>
      <c r="G552" s="89">
        <f t="shared" si="42"/>
        <v>708018</v>
      </c>
      <c r="H552" s="89">
        <f t="shared" si="42"/>
        <v>209062</v>
      </c>
      <c r="I552" s="89">
        <f t="shared" si="42"/>
        <v>364</v>
      </c>
      <c r="J552" s="89">
        <f t="shared" si="42"/>
        <v>378166</v>
      </c>
      <c r="K552" s="89">
        <f t="shared" si="42"/>
        <v>3976909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3000</v>
      </c>
      <c r="G582" s="18">
        <v>89367</v>
      </c>
      <c r="H582" s="18">
        <v>334627</v>
      </c>
      <c r="I582" s="87">
        <f t="shared" si="47"/>
        <v>426994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30613.57</v>
      </c>
      <c r="I584" s="87">
        <f t="shared" si="47"/>
        <v>30613.57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168274.93</v>
      </c>
      <c r="I591" s="18">
        <v>168274.93</v>
      </c>
      <c r="J591" s="18">
        <v>130880.5</v>
      </c>
      <c r="K591" s="104">
        <f t="shared" ref="K591:K597" si="48">SUM(H591:J591)</f>
        <v>467430.36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137831.75</v>
      </c>
      <c r="I592" s="18">
        <v>108415.52</v>
      </c>
      <c r="J592" s="18">
        <v>131918.18</v>
      </c>
      <c r="K592" s="104">
        <f t="shared" si="48"/>
        <v>378165.45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40345.800000000003</v>
      </c>
      <c r="K593" s="104">
        <f t="shared" si="48"/>
        <v>40345.800000000003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11768.61</v>
      </c>
      <c r="J594" s="18">
        <v>49646.32</v>
      </c>
      <c r="K594" s="104">
        <f t="shared" si="48"/>
        <v>61414.93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891.14</v>
      </c>
      <c r="I595" s="18">
        <v>3546.85</v>
      </c>
      <c r="J595" s="18">
        <v>8754.92</v>
      </c>
      <c r="K595" s="104">
        <f t="shared" si="48"/>
        <v>13192.91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306997.82</v>
      </c>
      <c r="I598" s="108">
        <f>SUM(I591:I597)</f>
        <v>292005.90999999997</v>
      </c>
      <c r="J598" s="108">
        <f>SUM(J591:J597)</f>
        <v>361545.72</v>
      </c>
      <c r="K598" s="108">
        <f>SUM(K591:K597)</f>
        <v>960549.45000000019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45000</v>
      </c>
      <c r="I602" s="18"/>
      <c r="J602" s="18"/>
      <c r="K602" s="104">
        <f>SUM(H602:J602)</f>
        <v>45000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29504</v>
      </c>
      <c r="I603" s="18">
        <v>29031</v>
      </c>
      <c r="J603" s="18">
        <v>21443</v>
      </c>
      <c r="K603" s="104">
        <f>SUM(H603:J603)</f>
        <v>79978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112935.21</v>
      </c>
      <c r="I604" s="18">
        <f>91152.49+10751.31</f>
        <v>101903.8</v>
      </c>
      <c r="J604" s="18">
        <v>197183.82</v>
      </c>
      <c r="K604" s="104">
        <f>SUM(H604:J604)</f>
        <v>412022.83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187439.21000000002</v>
      </c>
      <c r="I605" s="108">
        <f>SUM(I602:I604)</f>
        <v>130934.8</v>
      </c>
      <c r="J605" s="108">
        <f>SUM(J602:J604)</f>
        <v>218626.82</v>
      </c>
      <c r="K605" s="108">
        <f>SUM(K602:K604)</f>
        <v>537000.83000000007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1159809.21</v>
      </c>
      <c r="H617" s="109">
        <f>SUM(F52)</f>
        <v>1159809.21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122752.26</v>
      </c>
      <c r="H618" s="109">
        <f>SUM(G52)</f>
        <v>122752.26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56389.430000000008</v>
      </c>
      <c r="H619" s="109">
        <f>SUM(H52)</f>
        <v>56389.43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155217.79</v>
      </c>
      <c r="H621" s="109">
        <f>SUM(J52)</f>
        <v>155217.79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349413.87</v>
      </c>
      <c r="H622" s="109">
        <f>F476</f>
        <v>349413.87000000104</v>
      </c>
      <c r="I622" s="121" t="s">
        <v>101</v>
      </c>
      <c r="J622" s="109">
        <f t="shared" ref="J622:J655" si="50">G622-H622</f>
        <v>-1.0477378964424133E-9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109209.98</v>
      </c>
      <c r="H623" s="109">
        <f>G476</f>
        <v>109209.97999999998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155217.79</v>
      </c>
      <c r="H626" s="109">
        <f>J476</f>
        <v>155217.79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19527729</v>
      </c>
      <c r="H627" s="104">
        <f>SUM(F468)</f>
        <v>19527729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528852.9</v>
      </c>
      <c r="H628" s="104">
        <f>SUM(G468)</f>
        <v>528852.9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404726.65</v>
      </c>
      <c r="H629" s="104">
        <f>SUM(H468)</f>
        <v>404726.65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358.72</v>
      </c>
      <c r="H631" s="104">
        <f>SUM(J468)</f>
        <v>358.72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19744328.109999999</v>
      </c>
      <c r="H632" s="104">
        <f>SUM(F472)</f>
        <v>19744328.109999999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404726.65</v>
      </c>
      <c r="H633" s="104">
        <f>SUM(H472)</f>
        <v>404726.65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260338.40999999997</v>
      </c>
      <c r="H634" s="104">
        <f>I369</f>
        <v>260338.41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532561.92000000004</v>
      </c>
      <c r="H635" s="104">
        <f>SUM(G472)</f>
        <v>532561.92000000004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358.72</v>
      </c>
      <c r="H637" s="164">
        <f>SUM(J468)</f>
        <v>358.72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155217.79</v>
      </c>
      <c r="H639" s="104">
        <f>SUM(F461)</f>
        <v>155217.79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155217.79</v>
      </c>
      <c r="H642" s="104">
        <f>SUM(I461)</f>
        <v>155217.79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358.72</v>
      </c>
      <c r="H644" s="104">
        <f>H408</f>
        <v>358.72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358.72</v>
      </c>
      <c r="H646" s="104">
        <f>L408</f>
        <v>358.72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960549.45000000019</v>
      </c>
      <c r="H647" s="104">
        <f>L208+L226+L244</f>
        <v>960549.45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537000.83000000007</v>
      </c>
      <c r="H648" s="104">
        <f>(J257+J338)-(J255+J336)</f>
        <v>537000.82999999996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306997.82</v>
      </c>
      <c r="H649" s="104">
        <f>H598</f>
        <v>306997.82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292005.90999999997</v>
      </c>
      <c r="H650" s="104">
        <f>I598</f>
        <v>292005.90999999997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361545.72</v>
      </c>
      <c r="H651" s="104">
        <f>J598</f>
        <v>361545.72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6136036.8899999997</v>
      </c>
      <c r="G660" s="19">
        <f>(L229+L309+L359)</f>
        <v>6448879.5999999987</v>
      </c>
      <c r="H660" s="19">
        <f>(L247+L328+L360)</f>
        <v>7999072.4099999983</v>
      </c>
      <c r="I660" s="19">
        <f>SUM(F660:H660)</f>
        <v>20583988.899999999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100891.31203725381</v>
      </c>
      <c r="G661" s="19">
        <f>(L359/IF(SUM(L358:L360)=0,1,SUM(L358:L360))*(SUM(G97:G110)))</f>
        <v>126186.81829754368</v>
      </c>
      <c r="H661" s="19">
        <f>(L360/IF(SUM(L358:L360)=0,1,SUM(L358:L360))*(SUM(G97:G110)))</f>
        <v>212496.7696652025</v>
      </c>
      <c r="I661" s="19">
        <f>SUM(F661:H661)</f>
        <v>439574.9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306997.82</v>
      </c>
      <c r="G662" s="19">
        <f>(L226+L306)-(J226+J306)</f>
        <v>292005.90999999997</v>
      </c>
      <c r="H662" s="19">
        <f>(L244+L325)-(J244+J325)</f>
        <v>361545.72</v>
      </c>
      <c r="I662" s="19">
        <f>SUM(F662:H662)</f>
        <v>960549.45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190439.21000000002</v>
      </c>
      <c r="G663" s="199">
        <f>SUM(G575:G587)+SUM(I602:I604)+L612</f>
        <v>220301.8</v>
      </c>
      <c r="H663" s="199">
        <f>SUM(H575:H587)+SUM(J602:J604)+L613</f>
        <v>583867.39</v>
      </c>
      <c r="I663" s="19">
        <f>SUM(F663:H663)</f>
        <v>994608.4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5537708.5479627457</v>
      </c>
      <c r="G664" s="19">
        <f>G660-SUM(G661:G663)</f>
        <v>5810385.0717024552</v>
      </c>
      <c r="H664" s="19">
        <f>H660-SUM(H661:H663)</f>
        <v>6841162.5303347958</v>
      </c>
      <c r="I664" s="19">
        <f>I660-SUM(I661:I663)</f>
        <v>18189256.149999999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380.52</v>
      </c>
      <c r="G665" s="248">
        <v>455</v>
      </c>
      <c r="H665" s="248">
        <v>492.8</v>
      </c>
      <c r="I665" s="19">
        <f>SUM(F665:H665)</f>
        <v>1328.32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14553</v>
      </c>
      <c r="G667" s="19">
        <f>ROUND(G664/G665,2)</f>
        <v>12770.08</v>
      </c>
      <c r="H667" s="19">
        <f>ROUND(H664/H665,2)</f>
        <v>13882.23</v>
      </c>
      <c r="I667" s="19">
        <f>ROUND(I664/I665,2)</f>
        <v>13693.43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-9.94</v>
      </c>
      <c r="I670" s="19">
        <f>SUM(F670:H670)</f>
        <v>-9.94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14553</v>
      </c>
      <c r="G672" s="19">
        <f>ROUND((G664+G669)/(G665+G670),2)</f>
        <v>12770.08</v>
      </c>
      <c r="H672" s="19">
        <f>ROUND((H664+H669)/(H665+H670),2)</f>
        <v>14168</v>
      </c>
      <c r="I672" s="19">
        <f>ROUND((I664+I669)/(I665+I670),2)</f>
        <v>13796.67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7" zoomScaleNormal="100" workbookViewId="0">
      <selection activeCell="A66" sqref="A6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Litchfield School District - SAU 27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5267260.76</v>
      </c>
      <c r="C9" s="229">
        <f>'DOE25'!G197+'DOE25'!G215+'DOE25'!G233+'DOE25'!G276+'DOE25'!G295+'DOE25'!G314</f>
        <v>2339795.46</v>
      </c>
    </row>
    <row r="10" spans="1:3" x14ac:dyDescent="0.2">
      <c r="A10" t="s">
        <v>779</v>
      </c>
      <c r="B10" s="240">
        <f>4853342.06+5025+194.11</f>
        <v>4858561.17</v>
      </c>
      <c r="C10" s="240">
        <f>1988236.22+227465.2</f>
        <v>2215701.42</v>
      </c>
    </row>
    <row r="11" spans="1:3" x14ac:dyDescent="0.2">
      <c r="A11" t="s">
        <v>780</v>
      </c>
      <c r="B11" s="240">
        <f>202320.58+1294.32+28757.65</f>
        <v>232372.55</v>
      </c>
      <c r="C11" s="240">
        <v>79552.77</v>
      </c>
    </row>
    <row r="12" spans="1:3" x14ac:dyDescent="0.2">
      <c r="A12" t="s">
        <v>781</v>
      </c>
      <c r="B12" s="240">
        <v>176327.04000000001</v>
      </c>
      <c r="C12" s="240">
        <v>44541.27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5267260.76</v>
      </c>
      <c r="C13" s="231">
        <f>SUM(C10:C12)</f>
        <v>2339795.46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1760086.3099999998</v>
      </c>
      <c r="C18" s="229">
        <f>'DOE25'!G198+'DOE25'!G216+'DOE25'!G234+'DOE25'!G277+'DOE25'!G296+'DOE25'!G315</f>
        <v>504386.36</v>
      </c>
    </row>
    <row r="19" spans="1:3" x14ac:dyDescent="0.2">
      <c r="A19" t="s">
        <v>779</v>
      </c>
      <c r="B19" s="240">
        <v>861158.53</v>
      </c>
      <c r="C19" s="240">
        <v>368114.96</v>
      </c>
    </row>
    <row r="20" spans="1:3" x14ac:dyDescent="0.2">
      <c r="A20" t="s">
        <v>780</v>
      </c>
      <c r="B20" s="240">
        <v>873823.45000000007</v>
      </c>
      <c r="C20" s="240">
        <v>127793.71</v>
      </c>
    </row>
    <row r="21" spans="1:3" x14ac:dyDescent="0.2">
      <c r="A21" t="s">
        <v>781</v>
      </c>
      <c r="B21" s="240">
        <v>25104.33</v>
      </c>
      <c r="C21" s="240">
        <v>8477.69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1760086.31</v>
      </c>
      <c r="C22" s="231">
        <f>SUM(C19:C21)</f>
        <v>504386.36000000004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280903.80000000005</v>
      </c>
      <c r="C36" s="235">
        <f>'DOE25'!G200+'DOE25'!G218+'DOE25'!G236+'DOE25'!G279+'DOE25'!G298+'DOE25'!G317</f>
        <v>64952.149999999994</v>
      </c>
    </row>
    <row r="37" spans="1:3" x14ac:dyDescent="0.2">
      <c r="A37" t="s">
        <v>779</v>
      </c>
      <c r="B37" s="240">
        <v>212543.8</v>
      </c>
      <c r="C37" s="240">
        <v>52112.36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68000+360</f>
        <v>68360</v>
      </c>
      <c r="C39" s="240">
        <v>12839.79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280903.8</v>
      </c>
      <c r="C40" s="231">
        <f>SUM(C37:C39)</f>
        <v>64952.15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zoomScaleNormal="100" workbookViewId="0">
      <pane ySplit="4" topLeftCell="A14" activePane="bottomLeft" state="frozen"/>
      <selection activeCell="F46" sqref="F46"/>
      <selection pane="bottomLeft" activeCell="D38" sqref="D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Litchfield School District - SAU 27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11110901.51</v>
      </c>
      <c r="D5" s="20">
        <f>SUM('DOE25'!L197:L200)+SUM('DOE25'!L215:L218)+SUM('DOE25'!L233:L236)-F5-G5</f>
        <v>10971514.73</v>
      </c>
      <c r="E5" s="243"/>
      <c r="F5" s="255">
        <f>SUM('DOE25'!J197:J200)+SUM('DOE25'!J215:J218)+SUM('DOE25'!J233:J236)</f>
        <v>103364.04000000001</v>
      </c>
      <c r="G5" s="53">
        <f>SUM('DOE25'!K197:K200)+SUM('DOE25'!K215:K218)+SUM('DOE25'!K233:K236)</f>
        <v>36022.74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1659281.0799999998</v>
      </c>
      <c r="D6" s="20">
        <f>'DOE25'!L202+'DOE25'!L220+'DOE25'!L238-F6-G6</f>
        <v>1655136.2599999998</v>
      </c>
      <c r="E6" s="243"/>
      <c r="F6" s="255">
        <f>'DOE25'!J202+'DOE25'!J220+'DOE25'!J238</f>
        <v>1722.83</v>
      </c>
      <c r="G6" s="53">
        <f>'DOE25'!K202+'DOE25'!K220+'DOE25'!K238</f>
        <v>2421.9899999999998</v>
      </c>
      <c r="H6" s="259"/>
    </row>
    <row r="7" spans="1:9" x14ac:dyDescent="0.2">
      <c r="A7" s="32">
        <v>2200</v>
      </c>
      <c r="B7" t="s">
        <v>834</v>
      </c>
      <c r="C7" s="245">
        <f t="shared" si="0"/>
        <v>841646.21</v>
      </c>
      <c r="D7" s="20">
        <f>'DOE25'!L203+'DOE25'!L221+'DOE25'!L239-F7-G7</f>
        <v>732148.9</v>
      </c>
      <c r="E7" s="243"/>
      <c r="F7" s="255">
        <f>'DOE25'!J203+'DOE25'!J221+'DOE25'!J239</f>
        <v>107993.31999999999</v>
      </c>
      <c r="G7" s="53">
        <f>'DOE25'!K203+'DOE25'!K221+'DOE25'!K239</f>
        <v>1503.99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209062.22999999998</v>
      </c>
      <c r="D8" s="243"/>
      <c r="E8" s="20">
        <f>'DOE25'!L204+'DOE25'!L222+'DOE25'!L240-F8-G8-D9-D11</f>
        <v>187588.82999999996</v>
      </c>
      <c r="F8" s="255">
        <f>'DOE25'!J204+'DOE25'!J222+'DOE25'!J240</f>
        <v>5240.9799999999996</v>
      </c>
      <c r="G8" s="53">
        <f>'DOE25'!K204+'DOE25'!K222+'DOE25'!K240</f>
        <v>16232.42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128249.63</v>
      </c>
      <c r="D9" s="244">
        <v>128249.63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16800</v>
      </c>
      <c r="D10" s="243"/>
      <c r="E10" s="244">
        <v>16800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239754</v>
      </c>
      <c r="D11" s="244">
        <v>239754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1272951.58</v>
      </c>
      <c r="D12" s="20">
        <f>'DOE25'!L205+'DOE25'!L223+'DOE25'!L241-F12-G12</f>
        <v>1247207.9300000002</v>
      </c>
      <c r="E12" s="243"/>
      <c r="F12" s="255">
        <f>'DOE25'!J205+'DOE25'!J223+'DOE25'!J241</f>
        <v>0</v>
      </c>
      <c r="G12" s="53">
        <f>'DOE25'!K205+'DOE25'!K223+'DOE25'!K241</f>
        <v>25743.649999999998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322934.07999999996</v>
      </c>
      <c r="D13" s="243"/>
      <c r="E13" s="20">
        <f>'DOE25'!L206+'DOE25'!L224+'DOE25'!L242-F13-G13</f>
        <v>319423.67999999993</v>
      </c>
      <c r="F13" s="255">
        <f>'DOE25'!J206+'DOE25'!J224+'DOE25'!J242</f>
        <v>974.83</v>
      </c>
      <c r="G13" s="53">
        <f>'DOE25'!K206+'DOE25'!K224+'DOE25'!K242</f>
        <v>2535.5699999999997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2030941.67</v>
      </c>
      <c r="D14" s="20">
        <f>'DOE25'!L207+'DOE25'!L225+'DOE25'!L243-F14-G14</f>
        <v>2011191.75</v>
      </c>
      <c r="E14" s="243"/>
      <c r="F14" s="255">
        <f>'DOE25'!J207+'DOE25'!J225+'DOE25'!J243</f>
        <v>19419.47</v>
      </c>
      <c r="G14" s="53">
        <f>'DOE25'!K207+'DOE25'!K225+'DOE25'!K243</f>
        <v>330.45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960549.45</v>
      </c>
      <c r="D15" s="20">
        <f>'DOE25'!L208+'DOE25'!L226+'DOE25'!L244-F15-G15</f>
        <v>960549.45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870428.89</v>
      </c>
      <c r="D16" s="243"/>
      <c r="E16" s="20">
        <f>'DOE25'!L209+'DOE25'!L227+'DOE25'!L245-F16-G16</f>
        <v>612867.1</v>
      </c>
      <c r="F16" s="255">
        <f>'DOE25'!J209+'DOE25'!J227+'DOE25'!J245</f>
        <v>255994.55000000002</v>
      </c>
      <c r="G16" s="53">
        <f>'DOE25'!K209+'DOE25'!K227+'DOE25'!K245</f>
        <v>1567.2399999999998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88789.38</v>
      </c>
      <c r="D22" s="243"/>
      <c r="E22" s="243"/>
      <c r="F22" s="255">
        <f>'DOE25'!L255+'DOE25'!L336</f>
        <v>88789.38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285030.25000000006</v>
      </c>
      <c r="D29" s="20">
        <f>'DOE25'!L358+'DOE25'!L359+'DOE25'!L360-'DOE25'!I367-F29-G29</f>
        <v>259676.39</v>
      </c>
      <c r="E29" s="243"/>
      <c r="F29" s="255">
        <f>'DOE25'!J358+'DOE25'!J359+'DOE25'!J360</f>
        <v>24006.71</v>
      </c>
      <c r="G29" s="53">
        <f>'DOE25'!K358+'DOE25'!K359+'DOE25'!K360</f>
        <v>1347.15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404726.65</v>
      </c>
      <c r="D31" s="20">
        <f>'DOE25'!L290+'DOE25'!L309+'DOE25'!L328+'DOE25'!L333+'DOE25'!L334+'DOE25'!L335-F31-G31</f>
        <v>362435.84000000003</v>
      </c>
      <c r="E31" s="243"/>
      <c r="F31" s="255">
        <f>'DOE25'!J290+'DOE25'!J309+'DOE25'!J328+'DOE25'!J333+'DOE25'!J334+'DOE25'!J335</f>
        <v>42290.81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18567864.880000003</v>
      </c>
      <c r="E33" s="246">
        <f>SUM(E5:E31)</f>
        <v>1136679.6099999999</v>
      </c>
      <c r="F33" s="246">
        <f>SUM(F5:F31)</f>
        <v>649796.91999999993</v>
      </c>
      <c r="G33" s="246">
        <f>SUM(G5:G31)</f>
        <v>87705.199999999983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1136679.6099999999</v>
      </c>
      <c r="E35" s="249"/>
    </row>
    <row r="36" spans="2:8" ht="12" thickTop="1" x14ac:dyDescent="0.2">
      <c r="B36" t="s">
        <v>815</v>
      </c>
      <c r="D36" s="20">
        <f>D33</f>
        <v>18567864.880000003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Litchfield School District - SAU 27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1105910.45</v>
      </c>
      <c r="D8" s="95">
        <f>'DOE25'!G9</f>
        <v>117591.11</v>
      </c>
      <c r="E8" s="95">
        <f>'DOE25'!H9</f>
        <v>-45574.28</v>
      </c>
      <c r="F8" s="95">
        <f>'DOE25'!I9</f>
        <v>0</v>
      </c>
      <c r="G8" s="95">
        <f>'DOE25'!J9</f>
        <v>155217.79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'DOE25'!F13</f>
        <v>52698.17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 t="e">
        <f>'DOE25'!#REF!</f>
        <v>#REF!</v>
      </c>
      <c r="D12" s="95">
        <f>'DOE25'!G13</f>
        <v>5161.1499999999996</v>
      </c>
      <c r="E12" s="95">
        <f>'DOE25'!H13</f>
        <v>101963.71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1200.5899999999999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 t="e">
        <f>SUM(C8:C17)</f>
        <v>#REF!</v>
      </c>
      <c r="D18" s="41">
        <f>SUM(D8:D17)</f>
        <v>122752.26</v>
      </c>
      <c r="E18" s="41">
        <f>SUM(E8:E17)</f>
        <v>56389.430000000008</v>
      </c>
      <c r="F18" s="41">
        <f>SUM(F8:F17)</f>
        <v>0</v>
      </c>
      <c r="G18" s="41">
        <f>SUM(G8:G17)</f>
        <v>155217.79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117634.11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24115.43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1568.18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667077.62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13542.28</v>
      </c>
      <c r="E29" s="95">
        <f>'DOE25'!H30</f>
        <v>56389.43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810395.34</v>
      </c>
      <c r="D31" s="41">
        <f>SUM(D21:D30)</f>
        <v>13542.28</v>
      </c>
      <c r="E31" s="41">
        <f>SUM(E21:E30)</f>
        <v>56389.43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109209.98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155217.79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10685.03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238728.84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349413.87</v>
      </c>
      <c r="D50" s="41">
        <f>SUM(D34:D49)</f>
        <v>109209.98</v>
      </c>
      <c r="E50" s="41">
        <f>SUM(E34:E49)</f>
        <v>0</v>
      </c>
      <c r="F50" s="41">
        <f>SUM(F34:F49)</f>
        <v>0</v>
      </c>
      <c r="G50" s="41">
        <f>SUM(G34:G49)</f>
        <v>155217.79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1159809.21</v>
      </c>
      <c r="D51" s="41">
        <f>D50+D31</f>
        <v>122752.26</v>
      </c>
      <c r="E51" s="41">
        <f>E50+E31</f>
        <v>56389.43</v>
      </c>
      <c r="F51" s="41">
        <f>F50+F31</f>
        <v>0</v>
      </c>
      <c r="G51" s="41">
        <f>G50+G31</f>
        <v>155217.79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11499194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48277.45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8201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408.44</v>
      </c>
      <c r="D59" s="95">
        <f>'DOE25'!G96</f>
        <v>7.32</v>
      </c>
      <c r="E59" s="95">
        <f>'DOE25'!H96</f>
        <v>0</v>
      </c>
      <c r="F59" s="95">
        <f>'DOE25'!I96</f>
        <v>0</v>
      </c>
      <c r="G59" s="95">
        <f>'DOE25'!J96</f>
        <v>358.72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439574.9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62574.97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119461.86</v>
      </c>
      <c r="D62" s="130">
        <f>SUM(D57:D61)</f>
        <v>439582.22000000003</v>
      </c>
      <c r="E62" s="130">
        <f>SUM(E57:E61)</f>
        <v>0</v>
      </c>
      <c r="F62" s="130">
        <f>SUM(F57:F61)</f>
        <v>0</v>
      </c>
      <c r="G62" s="130">
        <f>SUM(G57:G61)</f>
        <v>358.72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11618655.859999999</v>
      </c>
      <c r="D63" s="22">
        <f>D56+D62</f>
        <v>439582.22000000003</v>
      </c>
      <c r="E63" s="22">
        <f>E56+E62</f>
        <v>0</v>
      </c>
      <c r="F63" s="22">
        <f>F56+F62</f>
        <v>0</v>
      </c>
      <c r="G63" s="22">
        <f>G56+G62</f>
        <v>358.72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5680132.5700000003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1869042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7549174.5700000003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166286.82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82706.929999999993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3860.16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3000</v>
      </c>
      <c r="D77" s="95">
        <f>SUM('DOE25'!G131:G135)</f>
        <v>5555.53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255853.91</v>
      </c>
      <c r="D78" s="130">
        <f>SUM(D72:D77)</f>
        <v>5555.53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7805028.4800000004</v>
      </c>
      <c r="D81" s="130">
        <f>SUM(D79:D80)+D78+D70</f>
        <v>5555.53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353228.84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104044.66</v>
      </c>
      <c r="D88" s="95">
        <f>SUM('DOE25'!G153:G161)</f>
        <v>83715.149999999994</v>
      </c>
      <c r="E88" s="95">
        <f>SUM('DOE25'!H153:H161)</f>
        <v>51497.81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104044.66</v>
      </c>
      <c r="D91" s="131">
        <f>SUM(D85:D90)</f>
        <v>83715.149999999994</v>
      </c>
      <c r="E91" s="131">
        <f>SUM(E85:E90)</f>
        <v>404726.65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19527729</v>
      </c>
      <c r="D104" s="86">
        <f>D63+D81+D91+D103</f>
        <v>528852.9</v>
      </c>
      <c r="E104" s="86">
        <f>E63+E81+E91+E103</f>
        <v>404726.65</v>
      </c>
      <c r="F104" s="86">
        <f>F63+F81+F91+F103</f>
        <v>0</v>
      </c>
      <c r="G104" s="86">
        <f>G63+G81+G103</f>
        <v>358.72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7867994.9499999993</v>
      </c>
      <c r="D109" s="24" t="s">
        <v>289</v>
      </c>
      <c r="E109" s="95">
        <f>('DOE25'!L276)+('DOE25'!L295)+('DOE25'!L314)</f>
        <v>41302.860000000008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2719376.63</v>
      </c>
      <c r="D110" s="24" t="s">
        <v>289</v>
      </c>
      <c r="E110" s="95">
        <f>('DOE25'!L277)+('DOE25'!L296)+('DOE25'!L315)</f>
        <v>168113.27999999997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30613.57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492916.36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8838.4000000000015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11119739.909999998</v>
      </c>
      <c r="D115" s="86">
        <f>SUM(D109:D114)</f>
        <v>0</v>
      </c>
      <c r="E115" s="86">
        <f>SUM(E109:E114)</f>
        <v>209416.13999999998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1659281.0799999998</v>
      </c>
      <c r="D118" s="24" t="s">
        <v>289</v>
      </c>
      <c r="E118" s="95">
        <f>+('DOE25'!L281)+('DOE25'!L300)+('DOE25'!L319)</f>
        <v>114606.65000000001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841646.21</v>
      </c>
      <c r="D119" s="24" t="s">
        <v>289</v>
      </c>
      <c r="E119" s="95">
        <f>+('DOE25'!L282)+('DOE25'!L301)+('DOE25'!L320)</f>
        <v>29206.049999999996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577065.86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1272951.58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322934.07999999996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2030941.67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960549.45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870428.89</v>
      </c>
      <c r="D125" s="24" t="s">
        <v>289</v>
      </c>
      <c r="E125" s="95">
        <f>+('DOE25'!L288)+('DOE25'!L307)+('DOE25'!L326)</f>
        <v>51497.81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532561.92000000004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8535798.8200000003</v>
      </c>
      <c r="D128" s="86">
        <f>SUM(D118:D127)</f>
        <v>532561.92000000004</v>
      </c>
      <c r="E128" s="86">
        <f>SUM(E118:E127)</f>
        <v>195310.51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88789.38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358.72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-358.72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88789.38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19744328.109999996</v>
      </c>
      <c r="D145" s="86">
        <f>(D115+D128+D144)</f>
        <v>532561.92000000004</v>
      </c>
      <c r="E145" s="86">
        <f>(E115+E128+E144)</f>
        <v>404726.65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6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Litchfield School District - SAU 27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14553</v>
      </c>
    </row>
    <row r="5" spans="1:4" x14ac:dyDescent="0.2">
      <c r="B5" t="s">
        <v>704</v>
      </c>
      <c r="C5" s="179">
        <f>IF('DOE25'!G665+'DOE25'!G670=0,0,ROUND('DOE25'!G672,0))</f>
        <v>12770</v>
      </c>
    </row>
    <row r="6" spans="1:4" x14ac:dyDescent="0.2">
      <c r="B6" t="s">
        <v>62</v>
      </c>
      <c r="C6" s="179">
        <f>IF('DOE25'!H665+'DOE25'!H670=0,0,ROUND('DOE25'!H672,0))</f>
        <v>14168</v>
      </c>
    </row>
    <row r="7" spans="1:4" x14ac:dyDescent="0.2">
      <c r="B7" t="s">
        <v>705</v>
      </c>
      <c r="C7" s="179">
        <f>IF('DOE25'!I665+'DOE25'!I670=0,0,ROUND('DOE25'!I672,0))</f>
        <v>13797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7909298</v>
      </c>
      <c r="D10" s="182">
        <f>ROUND((C10/$C$28)*100,1)</f>
        <v>39.200000000000003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2887490</v>
      </c>
      <c r="D11" s="182">
        <f>ROUND((C11/$C$28)*100,1)</f>
        <v>14.3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30614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492916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1773888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870852</v>
      </c>
      <c r="D16" s="182">
        <f t="shared" si="0"/>
        <v>4.3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1498993</v>
      </c>
      <c r="D17" s="182">
        <f t="shared" si="0"/>
        <v>7.4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1272952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322934</v>
      </c>
      <c r="D19" s="182">
        <f t="shared" si="0"/>
        <v>1.6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2030942</v>
      </c>
      <c r="D20" s="182">
        <f t="shared" si="0"/>
        <v>10.1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960549</v>
      </c>
      <c r="D21" s="182">
        <f t="shared" si="0"/>
        <v>4.8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8838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92987.099999999977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20153253.100000001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88789</v>
      </c>
    </row>
    <row r="30" spans="1:4" x14ac:dyDescent="0.2">
      <c r="B30" s="187" t="s">
        <v>729</v>
      </c>
      <c r="C30" s="180">
        <f>SUM(C28:C29)</f>
        <v>20242042.100000001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11499194</v>
      </c>
      <c r="D35" s="182">
        <f t="shared" ref="D35:D40" si="1">ROUND((C35/$C$41)*100,1)</f>
        <v>57.4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119827.90000000037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7549175</v>
      </c>
      <c r="D37" s="182">
        <f t="shared" si="1"/>
        <v>37.700000000000003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261409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592486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20022091.899999999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S25" sqref="S2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Litchfield School District - SAU 27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2016-10-20T16:46:38Z</cp:lastPrinted>
  <dcterms:created xsi:type="dcterms:W3CDTF">1997-12-04T19:04:30Z</dcterms:created>
  <dcterms:modified xsi:type="dcterms:W3CDTF">2016-11-30T16:32:04Z</dcterms:modified>
</cp:coreProperties>
</file>