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-15" yWindow="-15" windowWidth="18900" windowHeight="97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2" i="1" l="1"/>
  <c r="F50" i="1"/>
  <c r="F472" i="1"/>
  <c r="J468" i="1"/>
  <c r="J96" i="1"/>
  <c r="F110" i="1" l="1"/>
  <c r="F181" i="1"/>
  <c r="F11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C119" i="2" s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E132" i="2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F111" i="1"/>
  <c r="G111" i="1"/>
  <c r="H79" i="1"/>
  <c r="E57" i="2" s="1"/>
  <c r="H94" i="1"/>
  <c r="E58" i="2" s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I147" i="1"/>
  <c r="I162" i="1"/>
  <c r="C11" i="10"/>
  <c r="L250" i="1"/>
  <c r="C113" i="2" s="1"/>
  <c r="L332" i="1"/>
  <c r="L254" i="1"/>
  <c r="L268" i="1"/>
  <c r="C142" i="2" s="1"/>
  <c r="L269" i="1"/>
  <c r="C143" i="2" s="1"/>
  <c r="L349" i="1"/>
  <c r="E142" i="2" s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3" i="2"/>
  <c r="D115" i="2"/>
  <c r="F115" i="2"/>
  <c r="G115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H461" i="1" s="1"/>
  <c r="H641" i="1" s="1"/>
  <c r="F460" i="1"/>
  <c r="G460" i="1"/>
  <c r="H460" i="1"/>
  <c r="F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3" i="1"/>
  <c r="G644" i="1"/>
  <c r="G650" i="1"/>
  <c r="G652" i="1"/>
  <c r="H652" i="1"/>
  <c r="G653" i="1"/>
  <c r="H653" i="1"/>
  <c r="G654" i="1"/>
  <c r="H654" i="1"/>
  <c r="H655" i="1"/>
  <c r="F78" i="2"/>
  <c r="E78" i="2"/>
  <c r="G22" i="2"/>
  <c r="I460" i="1" l="1"/>
  <c r="G461" i="1"/>
  <c r="H640" i="1" s="1"/>
  <c r="J640" i="1" s="1"/>
  <c r="I452" i="1"/>
  <c r="L382" i="1"/>
  <c r="G636" i="1" s="1"/>
  <c r="C18" i="10"/>
  <c r="F257" i="1"/>
  <c r="F271" i="1" s="1"/>
  <c r="C112" i="2"/>
  <c r="G645" i="1"/>
  <c r="A40" i="12"/>
  <c r="A31" i="12"/>
  <c r="A13" i="12"/>
  <c r="K571" i="1"/>
  <c r="G552" i="1"/>
  <c r="K500" i="1"/>
  <c r="I446" i="1"/>
  <c r="G642" i="1" s="1"/>
  <c r="C32" i="10"/>
  <c r="G338" i="1"/>
  <c r="G352" i="1" s="1"/>
  <c r="E120" i="2"/>
  <c r="G257" i="1"/>
  <c r="G271" i="1" s="1"/>
  <c r="H257" i="1"/>
  <c r="H271" i="1" s="1"/>
  <c r="C125" i="2"/>
  <c r="C109" i="2"/>
  <c r="E13" i="13"/>
  <c r="C13" i="13" s="1"/>
  <c r="D15" i="13"/>
  <c r="C15" i="13" s="1"/>
  <c r="F81" i="2"/>
  <c r="J112" i="1"/>
  <c r="I112" i="1"/>
  <c r="I52" i="1"/>
  <c r="H620" i="1" s="1"/>
  <c r="J620" i="1" s="1"/>
  <c r="K257" i="1"/>
  <c r="K271" i="1" s="1"/>
  <c r="E122" i="2"/>
  <c r="L229" i="1"/>
  <c r="D5" i="13"/>
  <c r="C5" i="13" s="1"/>
  <c r="C18" i="2"/>
  <c r="J552" i="1"/>
  <c r="F552" i="1"/>
  <c r="I476" i="1"/>
  <c r="H625" i="1" s="1"/>
  <c r="H408" i="1"/>
  <c r="H644" i="1" s="1"/>
  <c r="J644" i="1" s="1"/>
  <c r="H52" i="1"/>
  <c r="H619" i="1" s="1"/>
  <c r="J619" i="1" s="1"/>
  <c r="K549" i="1"/>
  <c r="F22" i="13"/>
  <c r="C22" i="13" s="1"/>
  <c r="C111" i="2"/>
  <c r="C29" i="10"/>
  <c r="J338" i="1"/>
  <c r="J352" i="1" s="1"/>
  <c r="I571" i="1"/>
  <c r="E103" i="2"/>
  <c r="G81" i="2"/>
  <c r="F662" i="1"/>
  <c r="K545" i="1"/>
  <c r="C78" i="2"/>
  <c r="E125" i="2"/>
  <c r="E121" i="2"/>
  <c r="E112" i="2"/>
  <c r="G661" i="1"/>
  <c r="C110" i="2"/>
  <c r="J545" i="1"/>
  <c r="F130" i="2"/>
  <c r="F144" i="2" s="1"/>
  <c r="F145" i="2" s="1"/>
  <c r="J476" i="1"/>
  <c r="H626" i="1" s="1"/>
  <c r="F476" i="1"/>
  <c r="H622" i="1" s="1"/>
  <c r="J622" i="1" s="1"/>
  <c r="G476" i="1"/>
  <c r="H623" i="1" s="1"/>
  <c r="J623" i="1" s="1"/>
  <c r="D81" i="2"/>
  <c r="C70" i="2"/>
  <c r="C81" i="2" s="1"/>
  <c r="L401" i="1"/>
  <c r="C139" i="2" s="1"/>
  <c r="L328" i="1"/>
  <c r="E123" i="2"/>
  <c r="E119" i="2"/>
  <c r="D17" i="13"/>
  <c r="C17" i="13" s="1"/>
  <c r="C13" i="10"/>
  <c r="L419" i="1"/>
  <c r="F338" i="1"/>
  <c r="F352" i="1" s="1"/>
  <c r="D62" i="2"/>
  <c r="D63" i="2" s="1"/>
  <c r="J636" i="1"/>
  <c r="L614" i="1"/>
  <c r="K605" i="1"/>
  <c r="G648" i="1" s="1"/>
  <c r="H571" i="1"/>
  <c r="L565" i="1"/>
  <c r="D18" i="2"/>
  <c r="C131" i="2"/>
  <c r="I552" i="1"/>
  <c r="H552" i="1"/>
  <c r="K551" i="1"/>
  <c r="E114" i="2"/>
  <c r="L309" i="1"/>
  <c r="G660" i="1" s="1"/>
  <c r="E118" i="2"/>
  <c r="E109" i="2"/>
  <c r="C114" i="2"/>
  <c r="C20" i="10"/>
  <c r="C121" i="2"/>
  <c r="D6" i="13"/>
  <c r="C6" i="13" s="1"/>
  <c r="C12" i="10"/>
  <c r="G164" i="2"/>
  <c r="G112" i="1"/>
  <c r="J655" i="1"/>
  <c r="G625" i="1"/>
  <c r="L529" i="1"/>
  <c r="D31" i="2"/>
  <c r="K550" i="1"/>
  <c r="I169" i="1"/>
  <c r="J140" i="1"/>
  <c r="H140" i="1"/>
  <c r="G62" i="2"/>
  <c r="G63" i="2" s="1"/>
  <c r="E124" i="2"/>
  <c r="E111" i="2"/>
  <c r="D19" i="13"/>
  <c r="C19" i="13" s="1"/>
  <c r="H662" i="1"/>
  <c r="C16" i="10"/>
  <c r="L247" i="1"/>
  <c r="H660" i="1" s="1"/>
  <c r="C10" i="10"/>
  <c r="D50" i="2"/>
  <c r="E81" i="2"/>
  <c r="L351" i="1"/>
  <c r="H647" i="1"/>
  <c r="L534" i="1"/>
  <c r="K338" i="1"/>
  <c r="K352" i="1" s="1"/>
  <c r="C123" i="2"/>
  <c r="L211" i="1"/>
  <c r="J257" i="1"/>
  <c r="J271" i="1" s="1"/>
  <c r="H25" i="13"/>
  <c r="C25" i="13" s="1"/>
  <c r="L290" i="1"/>
  <c r="C26" i="10"/>
  <c r="J641" i="1"/>
  <c r="L544" i="1"/>
  <c r="L524" i="1"/>
  <c r="L433" i="1"/>
  <c r="I408" i="1"/>
  <c r="G408" i="1"/>
  <c r="H645" i="1" s="1"/>
  <c r="J639" i="1"/>
  <c r="K598" i="1"/>
  <c r="G647" i="1" s="1"/>
  <c r="J647" i="1" s="1"/>
  <c r="L570" i="1"/>
  <c r="J571" i="1"/>
  <c r="F571" i="1"/>
  <c r="L560" i="1"/>
  <c r="I545" i="1"/>
  <c r="G545" i="1"/>
  <c r="J624" i="1"/>
  <c r="L427" i="1"/>
  <c r="L434" i="1" s="1"/>
  <c r="G638" i="1" s="1"/>
  <c r="J638" i="1" s="1"/>
  <c r="L256" i="1"/>
  <c r="G157" i="2"/>
  <c r="G156" i="2"/>
  <c r="L393" i="1"/>
  <c r="C138" i="2" s="1"/>
  <c r="D14" i="13"/>
  <c r="C14" i="13" s="1"/>
  <c r="D7" i="13"/>
  <c r="C7" i="13" s="1"/>
  <c r="E16" i="13"/>
  <c r="C16" i="13" s="1"/>
  <c r="J649" i="1"/>
  <c r="K503" i="1"/>
  <c r="J617" i="1"/>
  <c r="F18" i="2"/>
  <c r="I369" i="1"/>
  <c r="H634" i="1" s="1"/>
  <c r="J634" i="1" s="1"/>
  <c r="H545" i="1"/>
  <c r="F408" i="1"/>
  <c r="H643" i="1" s="1"/>
  <c r="J643" i="1" s="1"/>
  <c r="D29" i="13"/>
  <c r="C29" i="13" s="1"/>
  <c r="F661" i="1"/>
  <c r="D127" i="2"/>
  <c r="D128" i="2" s="1"/>
  <c r="D145" i="2" s="1"/>
  <c r="H661" i="1"/>
  <c r="L362" i="1"/>
  <c r="C27" i="10" s="1"/>
  <c r="C25" i="10"/>
  <c r="H338" i="1"/>
  <c r="H352" i="1" s="1"/>
  <c r="C21" i="10"/>
  <c r="C15" i="10"/>
  <c r="C19" i="10"/>
  <c r="C17" i="10"/>
  <c r="D18" i="13"/>
  <c r="C18" i="13" s="1"/>
  <c r="I257" i="1"/>
  <c r="I271" i="1" s="1"/>
  <c r="E8" i="13"/>
  <c r="C8" i="13" s="1"/>
  <c r="D12" i="13"/>
  <c r="C12" i="13" s="1"/>
  <c r="G651" i="1"/>
  <c r="J651" i="1" s="1"/>
  <c r="C124" i="2"/>
  <c r="C122" i="2"/>
  <c r="C120" i="2"/>
  <c r="C118" i="2"/>
  <c r="G192" i="1"/>
  <c r="F192" i="1"/>
  <c r="D91" i="2"/>
  <c r="C91" i="2"/>
  <c r="F169" i="1"/>
  <c r="H169" i="1"/>
  <c r="E62" i="2"/>
  <c r="E63" i="2" s="1"/>
  <c r="C62" i="2"/>
  <c r="C63" i="2" s="1"/>
  <c r="H112" i="1"/>
  <c r="C35" i="10"/>
  <c r="F112" i="1"/>
  <c r="E3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J645" i="1" l="1"/>
  <c r="I461" i="1"/>
  <c r="H642" i="1" s="1"/>
  <c r="J642" i="1" s="1"/>
  <c r="G635" i="1"/>
  <c r="J635" i="1" s="1"/>
  <c r="F660" i="1"/>
  <c r="F664" i="1" s="1"/>
  <c r="F667" i="1" s="1"/>
  <c r="K552" i="1"/>
  <c r="J625" i="1"/>
  <c r="H33" i="13"/>
  <c r="F33" i="13"/>
  <c r="C115" i="2"/>
  <c r="I193" i="1"/>
  <c r="G630" i="1" s="1"/>
  <c r="J630" i="1" s="1"/>
  <c r="G104" i="2"/>
  <c r="J193" i="1"/>
  <c r="G646" i="1" s="1"/>
  <c r="G664" i="1"/>
  <c r="G672" i="1" s="1"/>
  <c r="C5" i="10" s="1"/>
  <c r="D51" i="2"/>
  <c r="F51" i="2"/>
  <c r="I662" i="1"/>
  <c r="L338" i="1"/>
  <c r="L352" i="1" s="1"/>
  <c r="G633" i="1" s="1"/>
  <c r="J633" i="1" s="1"/>
  <c r="H648" i="1"/>
  <c r="J648" i="1" s="1"/>
  <c r="H664" i="1"/>
  <c r="H672" i="1" s="1"/>
  <c r="C6" i="10" s="1"/>
  <c r="E115" i="2"/>
  <c r="E128" i="2"/>
  <c r="F193" i="1"/>
  <c r="G627" i="1" s="1"/>
  <c r="J627" i="1" s="1"/>
  <c r="C141" i="2"/>
  <c r="C144" i="2" s="1"/>
  <c r="F104" i="2"/>
  <c r="C36" i="10"/>
  <c r="L545" i="1"/>
  <c r="L257" i="1"/>
  <c r="L271" i="1" s="1"/>
  <c r="G632" i="1" s="1"/>
  <c r="J632" i="1" s="1"/>
  <c r="I661" i="1"/>
  <c r="C39" i="10"/>
  <c r="C104" i="2"/>
  <c r="L571" i="1"/>
  <c r="D31" i="13"/>
  <c r="C31" i="13" s="1"/>
  <c r="D104" i="2"/>
  <c r="C28" i="10"/>
  <c r="D19" i="10" s="1"/>
  <c r="G51" i="2"/>
  <c r="L408" i="1"/>
  <c r="C128" i="2"/>
  <c r="E33" i="13"/>
  <c r="D35" i="13" s="1"/>
  <c r="H193" i="1"/>
  <c r="G629" i="1" s="1"/>
  <c r="J629" i="1" s="1"/>
  <c r="E104" i="2"/>
  <c r="E51" i="2"/>
  <c r="C51" i="2"/>
  <c r="G193" i="1"/>
  <c r="G628" i="1" s="1"/>
  <c r="J628" i="1" s="1"/>
  <c r="G626" i="1"/>
  <c r="J626" i="1" s="1"/>
  <c r="J52" i="1"/>
  <c r="H621" i="1" s="1"/>
  <c r="J621" i="1" s="1"/>
  <c r="C38" i="10"/>
  <c r="I660" i="1" l="1"/>
  <c r="D11" i="10"/>
  <c r="D12" i="10"/>
  <c r="D10" i="10"/>
  <c r="D26" i="10"/>
  <c r="D15" i="10"/>
  <c r="D22" i="10"/>
  <c r="D20" i="10"/>
  <c r="D21" i="10"/>
  <c r="D13" i="10"/>
  <c r="C30" i="10"/>
  <c r="D24" i="10"/>
  <c r="C145" i="2"/>
  <c r="G667" i="1"/>
  <c r="D23" i="10"/>
  <c r="D27" i="10"/>
  <c r="D18" i="10"/>
  <c r="D17" i="10"/>
  <c r="D16" i="10"/>
  <c r="G631" i="1"/>
  <c r="J631" i="1" s="1"/>
  <c r="I664" i="1"/>
  <c r="I672" i="1" s="1"/>
  <c r="C7" i="10" s="1"/>
  <c r="H667" i="1"/>
  <c r="D25" i="10"/>
  <c r="F672" i="1"/>
  <c r="C4" i="10" s="1"/>
  <c r="D33" i="13"/>
  <c r="D36" i="13" s="1"/>
  <c r="E145" i="2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<sst xmlns="http://schemas.openxmlformats.org/spreadsheetml/2006/main" count="3972" uniqueCount="926">
  <si>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</si>
  <si>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</si>
  <si>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</si>
  <si>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</si>
  <si>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</si>
  <si>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</si>
  <si>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</si>
  <si>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</si>
  <si>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</si>
  <si>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</si>
  <si>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</si>
  <si>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</si>
  <si>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</si>
  <si>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</si>
  <si>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</si>
  <si>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</si>
  <si>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</si>
  <si>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</si>
  <si>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</si>
  <si>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</si>
  <si>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</si>
  <si>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</si>
  <si>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</si>
  <si>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</si>
  <si>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</si>
  <si>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</si>
  <si>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</si>
  <si>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</si>
  <si>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</si>
  <si>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</si>
  <si>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</si>
  <si>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</si>
  <si>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</si>
  <si>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</si>
  <si>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</si>
  <si>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</si>
  <si>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</si>
  <si>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</si>
  <si>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</si>
  <si>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</si>
  <si>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</si>
  <si>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</si>
  <si>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</si>
  <si>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</si>
  <si>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</si>
  <si>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</si>
  <si>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</si>
  <si>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</si>
  <si>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</si>
  <si>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</si>
  <si>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</si>
  <si>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</si>
  <si>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</si>
  <si>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</si>
  <si>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</si>
  <si>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</si>
  <si>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</si>
  <si>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</si>
  <si>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</si>
  <si>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</si>
  <si>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</si>
  <si>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</si>
  <si>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</si>
  <si>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</si>
  <si>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</si>
  <si>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</si>
  <si>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</si>
  <si>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</si>
  <si>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</si>
  <si>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</si>
  <si>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</si>
  <si>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</si>
  <si>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</si>
  <si>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</si>
  <si>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</si>
  <si>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</si>
  <si>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</si>
  <si>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</si>
  <si>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</si>
  <si>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</si>
  <si>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</si>
  <si>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</si>
  <si>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</si>
  <si>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</si>
  <si>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</si>
  <si>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</si>
  <si>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</si>
  <si>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</si>
  <si>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</si>
  <si>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</si>
  <si>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</si>
  <si>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</si>
  <si>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</si>
  <si>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</si>
  <si>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</si>
  <si>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</si>
  <si>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</si>
  <si>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</si>
  <si>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</si>
  <si>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</si>
  <si>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</si>
  <si>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</si>
  <si>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</si>
  <si>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</si>
  <si>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</si>
  <si>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</si>
  <si>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</si>
  <si>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</si>
  <si>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</si>
  <si>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</si>
  <si>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</si>
  <si>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</si>
  <si>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</si>
  <si>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</si>
  <si>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</si>
  <si>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</si>
  <si>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</si>
  <si>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</si>
  <si>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</si>
  <si>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</si>
  <si>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</si>
  <si>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</si>
  <si>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</si>
  <si>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</si>
  <si>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</si>
  <si>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</si>
  <si>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</si>
  <si>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</si>
  <si>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</si>
  <si>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</si>
  <si>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</si>
  <si>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</si>
  <si>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</si>
  <si>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</si>
  <si>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</si>
  <si>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</si>
  <si>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</si>
  <si>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</si>
  <si>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</si>
  <si>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</si>
  <si>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</si>
  <si>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</si>
  <si>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</si>
  <si>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</si>
  <si>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</si>
  <si>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</si>
  <si>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</si>
  <si>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</si>
  <si>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</si>
  <si>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</si>
  <si>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</si>
  <si>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</si>
  <si>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</si>
  <si>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</si>
  <si>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</si>
  <si>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</si>
  <si>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</si>
  <si>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</si>
  <si>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</si>
  <si>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</si>
  <si>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</si>
  <si>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</si>
  <si>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</si>
  <si>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</si>
  <si>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</si>
  <si>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</si>
  <si>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</si>
  <si>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</si>
  <si>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</si>
  <si>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</si>
  <si>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</si>
  <si>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</si>
  <si>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</si>
  <si>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</si>
  <si>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</si>
  <si>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</si>
  <si>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</si>
  <si>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</si>
  <si>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</si>
  <si>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</si>
  <si>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</si>
  <si>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</si>
  <si>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</si>
  <si>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</si>
  <si>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</si>
  <si>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</si>
  <si>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</si>
  <si>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</si>
  <si>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</si>
  <si>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</si>
  <si>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</si>
  <si>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</si>
  <si>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</si>
  <si>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</si>
  <si>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</si>
  <si>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</si>
  <si>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</si>
  <si>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</si>
  <si>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</si>
  <si>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</si>
  <si>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</si>
  <si>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</si>
  <si>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</si>
  <si>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</si>
  <si>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</si>
  <si>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</si>
  <si>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</si>
  <si>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</si>
  <si>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</si>
  <si>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</si>
  <si>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</si>
  <si>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</si>
  <si>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</si>
  <si>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</si>
  <si>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</si>
  <si>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</si>
  <si>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</si>
  <si>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</si>
  <si>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</si>
  <si>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</si>
  <si>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</si>
  <si>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</si>
  <si>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</si>
  <si>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</si>
  <si>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</si>
  <si>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</si>
  <si>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</si>
  <si>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</si>
  <si>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</si>
  <si>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</si>
  <si>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</si>
  <si>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</si>
  <si>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</si>
  <si>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</si>
  <si>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</si>
  <si>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</si>
  <si>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</si>
  <si>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</si>
  <si>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</si>
  <si>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</si>
  <si>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</si>
  <si>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</si>
  <si>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</si>
  <si>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</si>
  <si>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</si>
  <si>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</si>
  <si>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</si>
  <si>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</si>
  <si>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</si>
  <si>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</si>
  <si>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</si>
  <si>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</si>
  <si>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</si>
  <si>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</si>
  <si>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</si>
  <si>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</si>
  <si>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</si>
  <si>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</si>
  <si>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</si>
  <si>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</si>
  <si>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</si>
  <si>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</si>
  <si>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</si>
  <si>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</si>
  <si>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</si>
  <si>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</si>
  <si>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</si>
  <si>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</si>
  <si>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</si>
  <si>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</si>
  <si>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</si>
  <si>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</si>
  <si>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</si>
  <si>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</si>
  <si>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</si>
  <si>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</si>
  <si>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</si>
  <si>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</si>
  <si>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</si>
  <si>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</si>
  <si>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</si>
  <si>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</si>
  <si>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</si>
  <si>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</si>
  <si>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</si>
  <si>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</si>
  <si>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</si>
  <si>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</si>
  <si>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</si>
  <si>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</si>
  <si>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</si>
  <si>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</si>
  <si>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</si>
  <si>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</si>
  <si>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</si>
  <si>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</si>
  <si>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</si>
  <si>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</si>
  <si>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</si>
  <si>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</si>
  <si>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</si>
  <si>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</si>
  <si>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</si>
  <si>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</si>
  <si>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</si>
  <si>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</si>
  <si>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</si>
  <si>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</si>
  <si>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</si>
  <si>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</si>
  <si>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</si>
  <si>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</si>
  <si>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</si>
  <si>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</si>
  <si>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</si>
  <si>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</si>
  <si>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</si>
  <si>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</si>
  <si>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</si>
  <si>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</si>
  <si>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</si>
  <si>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</si>
  <si>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</si>
  <si>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</si>
  <si>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</si>
  <si>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</si>
  <si>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</si>
  <si>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</si>
  <si>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</si>
  <si>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</si>
  <si>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</si>
  <si>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</si>
  <si>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</si>
  <si>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</si>
  <si>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</si>
  <si>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</si>
  <si>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</si>
  <si>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</si>
  <si>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</si>
  <si>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</si>
  <si>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</si>
  <si>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</si>
  <si>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</si>
  <si>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</si>
  <si>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</si>
  <si>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</si>
  <si>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</si>
  <si>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</si>
  <si>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</si>
  <si>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</si>
  <si>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</si>
  <si>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</si>
  <si>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</si>
  <si>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</si>
  <si>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</si>
  <si>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</si>
  <si>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</si>
  <si>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</si>
  <si>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</si>
  <si>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</si>
  <si>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</si>
  <si>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</si>
  <si>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</si>
  <si>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</si>
  <si>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</si>
  <si>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</si>
  <si>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</si>
  <si>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</si>
  <si>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</si>
  <si>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</si>
  <si>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</si>
  <si>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</si>
  <si>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</si>
  <si>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</si>
  <si>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</si>
  <si>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</si>
  <si>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</si>
  <si>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</si>
  <si>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</si>
  <si>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</si>
  <si>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</si>
  <si>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</si>
  <si>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</si>
  <si>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</si>
  <si>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</si>
  <si>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</si>
  <si>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</si>
  <si>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</si>
  <si>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</si>
  <si>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</si>
  <si>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</si>
  <si>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</si>
  <si>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</si>
  <si>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</si>
  <si>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</si>
  <si>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</si>
  <si>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</si>
  <si>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</si>
  <si>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</si>
  <si>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</si>
  <si>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</si>
  <si>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</si>
  <si>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</si>
  <si>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</si>
  <si>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</si>
  <si>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</si>
  <si>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</si>
  <si>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</si>
  <si>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</si>
  <si>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</si>
  <si>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</si>
  <si>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</si>
  <si>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</si>
  <si>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</si>
  <si>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</si>
  <si>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</si>
  <si>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</si>
  <si>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</si>
  <si>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</si>
  <si>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</si>
  <si>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</si>
  <si>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</si>
  <si>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</si>
  <si>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</si>
  <si>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</si>
  <si>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</si>
  <si>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</si>
  <si>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</si>
  <si>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</si>
  <si>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</si>
  <si>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</si>
  <si>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</si>
  <si>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</si>
  <si>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</si>
  <si>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</si>
  <si>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</si>
  <si>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</si>
  <si>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</si>
  <si>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</si>
  <si>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</si>
  <si>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</si>
  <si>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</si>
  <si>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</si>
  <si>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</si>
  <si>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</si>
  <si>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</si>
  <si>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</si>
  <si>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</si>
  <si>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</si>
  <si>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</si>
  <si>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</si>
  <si>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</si>
  <si>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</si>
  <si>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</si>
  <si>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</si>
  <si>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</si>
  <si>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</si>
  <si>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</si>
  <si>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</si>
  <si>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</si>
  <si>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</si>
  <si>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</si>
  <si>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</si>
  <si>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</si>
  <si>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</si>
  <si>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</si>
  <si>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</si>
  <si>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</si>
  <si>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</si>
  <si>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</si>
  <si>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</si>
  <si>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</si>
  <si>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</si>
  <si>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</si>
  <si>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</si>
  <si>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</si>
  <si>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</si>
  <si>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</si>
  <si>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</si>
  <si>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</si>
  <si>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</si>
  <si>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</si>
  <si>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</si>
  <si>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</si>
  <si>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</si>
  <si>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</si>
  <si>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</si>
  <si>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</si>
  <si>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</si>
  <si>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</si>
  <si>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</si>
  <si>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</si>
  <si>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</si>
  <si>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</si>
  <si>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</si>
  <si>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</si>
  <si>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</si>
  <si>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</si>
  <si>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</si>
  <si>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</si>
  <si>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</si>
  <si>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</si>
  <si>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</si>
  <si>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</si>
  <si>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</si>
  <si>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</si>
  <si>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</si>
  <si>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</si>
  <si>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</si>
  <si>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</si>
  <si>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</si>
  <si>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</si>
  <si>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</si>
  <si>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</si>
  <si>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</si>
  <si>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</si>
  <si>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</si>
  <si>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</si>
  <si>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</si>
  <si>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</si>
  <si>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</si>
  <si>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</si>
  <si>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</si>
  <si>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</si>
  <si>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</si>
  <si>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</si>
  <si>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</si>
  <si>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</si>
  <si>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</si>
  <si>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</si>
  <si>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</si>
  <si>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</si>
  <si>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</si>
  <si>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</si>
  <si>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</si>
  <si>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</si>
  <si>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</si>
  <si>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</si>
  <si>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</si>
  <si>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</si>
  <si>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</si>
  <si>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</si>
  <si>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</si>
  <si>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</si>
  <si>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</si>
  <si>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</si>
  <si>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</si>
  <si>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</si>
  <si>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</si>
  <si>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</si>
  <si>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</si>
  <si>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</si>
  <si>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</si>
  <si>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</si>
  <si>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</si>
  <si>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</si>
  <si>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</si>
  <si>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</si>
  <si>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</si>
  <si>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</si>
  <si>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</si>
  <si>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</si>
  <si>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</si>
  <si>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</si>
  <si>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</si>
  <si>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</si>
  <si>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</si>
  <si>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</si>
  <si>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</si>
  <si>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</si>
  <si>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</si>
  <si>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</si>
  <si>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</si>
  <si>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</si>
  <si>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</si>
  <si>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</si>
  <si>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</si>
  <si>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</si>
  <si>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</si>
  <si>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</si>
  <si>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</si>
  <si>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</si>
  <si>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</si>
  <si>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</si>
  <si>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</si>
  <si>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</si>
  <si>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</si>
  <si>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</si>
  <si>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</si>
  <si>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</si>
  <si>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</si>
  <si>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</si>
  <si>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</si>
  <si>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</si>
  <si>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</si>
  <si>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</si>
  <si>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</si>
  <si>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</si>
  <si>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</si>
  <si>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</si>
  <si>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</si>
  <si>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</si>
  <si>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</si>
  <si>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</si>
  <si>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</si>
  <si>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</si>
  <si>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</si>
  <si>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</si>
  <si>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</si>
  <si>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</si>
  <si>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</si>
  <si>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</si>
  <si>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</si>
  <si>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</si>
  <si>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</si>
  <si>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</si>
  <si>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</si>
  <si>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</si>
  <si>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</si>
  <si>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</si>
  <si>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</si>
  <si>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</si>
  <si>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</si>
  <si>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</si>
  <si>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</si>
  <si>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</si>
  <si>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</si>
  <si>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</si>
  <si>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</si>
  <si>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</si>
  <si>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</si>
  <si>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</si>
  <si>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</si>
  <si>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</si>
  <si>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</si>
  <si>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</si>
  <si>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</si>
  <si>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</si>
  <si>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</si>
  <si>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</si>
  <si>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</si>
  <si>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</si>
  <si>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</si>
  <si>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</si>
  <si>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</si>
  <si>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</si>
  <si>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</si>
  <si>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</si>
  <si>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</si>
  <si>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</si>
  <si>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</si>
  <si>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</si>
  <si>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</si>
  <si>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</si>
  <si>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</si>
  <si>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</si>
  <si>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</si>
  <si>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</si>
  <si>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</si>
  <si>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</si>
  <si>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</si>
  <si>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</si>
  <si>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</si>
  <si>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</si>
  <si>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</si>
  <si>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</si>
  <si>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</si>
  <si>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</si>
  <si>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</si>
  <si>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</si>
  <si>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</si>
  <si>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</si>
  <si>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</si>
  <si>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</si>
  <si>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</si>
  <si>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</si>
  <si>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</si>
  <si>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</si>
  <si>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</si>
  <si>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</si>
  <si>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</si>
  <si>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</si>
  <si>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</si>
  <si>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</si>
  <si>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</si>
  <si>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</si>
  <si>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</si>
  <si>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</si>
  <si>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</si>
  <si>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</si>
  <si>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</si>
  <si>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</si>
  <si>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</si>
  <si>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</si>
  <si>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</si>
  <si>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</si>
  <si>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</si>
  <si>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</si>
  <si>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</si>
  <si>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</si>
  <si>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</si>
  <si>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</si>
  <si>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</si>
  <si>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</si>
  <si>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</si>
  <si>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</si>
  <si>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</si>
  <si>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</si>
  <si>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</si>
  <si>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</si>
  <si>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</si>
  <si>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</si>
  <si>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</si>
  <si>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</si>
  <si>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</si>
  <si>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</si>
  <si>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</si>
  <si>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</si>
  <si>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</si>
  <si>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</si>
  <si>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</si>
  <si>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</si>
  <si>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</si>
  <si>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</si>
  <si>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</si>
  <si>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</si>
  <si>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</si>
  <si>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</si>
  <si>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</si>
  <si>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</si>
  <si>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</si>
  <si>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</si>
  <si>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</si>
  <si>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</si>
  <si>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</si>
  <si>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</si>
  <si>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</si>
  <si>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</si>
  <si>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</si>
  <si>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</si>
  <si>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</si>
  <si>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</si>
  <si>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</si>
  <si>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</si>
  <si>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</si>
  <si>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</si>
  <si>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</si>
  <si>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</si>
  <si>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</si>
  <si>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</si>
  <si>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</si>
  <si>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</si>
  <si>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</si>
  <si>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</si>
  <si>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</si>
  <si>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</si>
  <si>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</si>
  <si>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</si>
  <si>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</si>
  <si>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</si>
  <si>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</si>
  <si>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</si>
  <si>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</si>
  <si>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</si>
  <si>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</si>
  <si>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</si>
  <si>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</si>
  <si>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</si>
  <si>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</si>
  <si>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</si>
  <si>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</si>
  <si>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</si>
  <si>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</si>
  <si>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</si>
  <si>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</si>
  <si>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</si>
  <si>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</si>
  <si>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</si>
  <si>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</si>
  <si>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</si>
  <si>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</si>
  <si>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</si>
  <si>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</si>
  <si>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</si>
  <si>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</si>
  <si>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</si>
  <si>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</si>
  <si>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</si>
  <si>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</si>
  <si>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</si>
  <si>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</si>
  <si>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</si>
  <si>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</si>
  <si>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</si>
  <si>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</si>
  <si>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</si>
  <si>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</si>
  <si>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</si>
  <si>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</si>
  <si>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</si>
  <si>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</si>
  <si>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</si>
  <si>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</si>
  <si>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</si>
  <si>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</si>
  <si>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</si>
  <si>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</si>
  <si>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</si>
  <si>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</si>
  <si>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</si>
  <si>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</si>
  <si>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</si>
  <si>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</si>
  <si>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</si>
  <si>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</si>
  <si>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</si>
  <si>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</si>
  <si>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</si>
  <si>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</si>
  <si>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</si>
  <si>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</si>
  <si>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</si>
  <si>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</si>
  <si>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</si>
  <si>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</si>
  <si>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</si>
  <si>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</si>
  <si>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</si>
  <si>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</si>
  <si>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</si>
  <si>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</si>
  <si>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</si>
  <si>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</si>
  <si>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</si>
  <si>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</si>
  <si>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</si>
  <si>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</si>
  <si>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</si>
  <si>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</si>
  <si>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</si>
  <si>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</si>
  <si>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</si>
  <si>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</si>
  <si>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</si>
  <si>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</si>
  <si>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</si>
  <si>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</si>
  <si>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</si>
  <si>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</si>
  <si>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</si>
  <si>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</si>
  <si>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</si>
  <si>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</si>
  <si>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</si>
  <si>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</si>
  <si>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</si>
  <si>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</si>
  <si>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</si>
  <si>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</si>
  <si>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</si>
  <si>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</si>
  <si>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</si>
  <si>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</si>
  <si>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</si>
  <si>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</si>
  <si>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</si>
  <si>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</si>
  <si>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</si>
  <si>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</si>
  <si>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</si>
  <si>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</si>
  <si>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</si>
  <si>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</si>
  <si>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</si>
  <si>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</si>
  <si>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</si>
  <si>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</si>
  <si>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</si>
  <si>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</si>
  <si>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</si>
  <si>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</si>
  <si>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</si>
  <si>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</si>
  <si>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</si>
  <si>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</si>
  <si>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</si>
  <si>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</si>
  <si>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</si>
  <si>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</si>
  <si>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</si>
  <si>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</si>
  <si>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</si>
  <si>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</si>
  <si>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</si>
  <si>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</si>
  <si>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</si>
  <si>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</si>
  <si>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</si>
  <si>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</si>
  <si>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</si>
  <si>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</si>
  <si>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</si>
  <si>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</si>
  <si>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</si>
  <si>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</si>
  <si>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</si>
  <si>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</si>
  <si>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</si>
  <si>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</si>
  <si>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</si>
  <si>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</si>
  <si>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</si>
  <si>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08/02</t>
  </si>
  <si>
    <t>06/10</t>
  </si>
  <si>
    <t>08/22</t>
  </si>
  <si>
    <t>03/27</t>
  </si>
  <si>
    <t>before Fed reimbursement</t>
  </si>
  <si>
    <t>LITTLETON SCHOOL DISTRICT</t>
  </si>
  <si>
    <t>Revisions</t>
  </si>
  <si>
    <t>Reclassified $319.94 from 3111 to 3190 as Special Ed differentiated aid - Charter School student</t>
  </si>
  <si>
    <t>To recognize Indirect Costs as Transfers from Special Revenue Funds rather than Other Local Revenue</t>
  </si>
  <si>
    <t>10/19/2016</t>
  </si>
  <si>
    <t>Revisions per Jamie Dow, DRA Municipal Advisor</t>
  </si>
  <si>
    <t>"MS-25; page 3 acct#5210, transfer from general fund s/b $90,000 (prior year additions to trust funds, article 9 $50k, article 10 $30k, and article 11 $10k).  Please revise the MS25 and email to me (cc; Ron Leclerc)."</t>
  </si>
  <si>
    <t>Conversation w/ auditors - trust fund beginning/ending balances should = cash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</si>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</sst>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name val="Arial"/>
    </font>
    <font>
      <b/>
      <u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4" fontId="38" fillId="0" borderId="0" applyFont="0" applyFill="0" applyBorder="0" applyAlignment="0" applyProtection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167" fontId="0" fillId="0" borderId="0" xfId="0" applyNumberFormat="1" applyProtection="1"/>
    <xf numFmtId="2" fontId="0" fillId="0" borderId="0" xfId="0" applyNumberFormat="1" applyProtection="1"/>
    <xf numFmtId="1" fontId="0" fillId="0" borderId="0" xfId="0" quotePrefix="1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9" fillId="0" borderId="0" xfId="0" applyNumberFormat="1" applyFont="1" applyBorder="1" applyAlignment="1" applyProtection="1">
      <alignment horizontal="left"/>
      <protection locked="0"/>
    </xf>
    <xf numFmtId="49" fontId="39" fillId="0" borderId="10" xfId="0" applyNumberFormat="1" applyFont="1" applyBorder="1" applyAlignment="1" applyProtection="1">
      <alignment horizontal="left"/>
      <protection locked="0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8" fontId="10" fillId="0" borderId="0" xfId="1" applyNumberFormat="1" applyFont="1" applyBorder="1" applyAlignment="1" applyProtection="1">
      <alignment horizontal="center"/>
      <protection locked="0"/>
    </xf>
    <xf numFmtId="44" fontId="10" fillId="0" borderId="0" xfId="1" applyFont="1" applyBorder="1" applyAlignment="1" applyProtection="1">
      <alignment horizontal="center"/>
      <protection locked="0"/>
    </xf>
    <xf numFmtId="44" fontId="10" fillId="0" borderId="10" xfId="1" applyFont="1" applyBorder="1" applyAlignment="1" applyProtection="1">
      <alignment horizontal="center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10" xfId="0" applyNumberFormat="1" applyFont="1" applyBorder="1" applyAlignment="1" applyProtection="1">
      <alignment horizontal="left" vertical="center" wrapText="1"/>
      <protection locked="0"/>
    </xf>
  </cellXfs>
  <cellStyles count="2">
    <cellStyle name="Currency" xfId="1" builtinId="4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8" t="s">
        <v>917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18" t="s">
        <v>281</v>
      </c>
      <c r="G6" s="218" t="s">
        <v>282</v>
      </c>
      <c r="H6" s="218" t="s">
        <v>283</v>
      </c>
      <c r="I6" s="218" t="s">
        <v>284</v>
      </c>
      <c r="J6" s="218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18"/>
      <c r="G7" s="219"/>
      <c r="H7" s="218" t="s">
        <v>772</v>
      </c>
      <c r="I7" s="219"/>
      <c r="J7" s="219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666884.5</v>
      </c>
      <c r="G9" s="18">
        <v>0</v>
      </c>
      <c r="H9" s="18">
        <v>0</v>
      </c>
      <c r="I9" s="18">
        <v>0</v>
      </c>
      <c r="J9" s="66">
        <f>SUM(I439)</f>
        <v>0</v>
      </c>
      <c r="K9" s="24" t="s">
        <v>289</v>
      </c>
      <c r="L9" s="24" t="s">
        <v>289</v>
      </c>
      <c r="M9" s="8"/>
      <c r="N9" s="263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SUM(I440)</f>
        <v>796482.53</v>
      </c>
      <c r="K10" s="24" t="s">
        <v>289</v>
      </c>
      <c r="L10" s="24" t="s">
        <v>289</v>
      </c>
      <c r="M10" s="8"/>
      <c r="N10" s="263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3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375571.04</v>
      </c>
      <c r="G12" s="18">
        <v>-7962.74</v>
      </c>
      <c r="H12" s="18">
        <v>-185673.59</v>
      </c>
      <c r="I12" s="18">
        <v>0</v>
      </c>
      <c r="J12" s="66">
        <f>SUM(I441)</f>
        <v>0</v>
      </c>
      <c r="K12" s="24" t="s">
        <v>289</v>
      </c>
      <c r="L12" s="24" t="s">
        <v>289</v>
      </c>
      <c r="M12" s="8"/>
      <c r="N12" s="263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35127.64</v>
      </c>
      <c r="G13" s="18">
        <v>34734.230000000003</v>
      </c>
      <c r="H13" s="18">
        <v>178404.31</v>
      </c>
      <c r="I13" s="18">
        <v>0</v>
      </c>
      <c r="J13" s="66">
        <f>SUM(I442)</f>
        <v>0</v>
      </c>
      <c r="K13" s="24" t="s">
        <v>289</v>
      </c>
      <c r="L13" s="24" t="s">
        <v>289</v>
      </c>
      <c r="M13" s="8"/>
      <c r="N13" s="263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217935.12</v>
      </c>
      <c r="G14" s="18">
        <v>0</v>
      </c>
      <c r="H14" s="18">
        <v>0</v>
      </c>
      <c r="I14" s="18">
        <v>0</v>
      </c>
      <c r="J14" s="66">
        <f>SUM(I443)</f>
        <v>0</v>
      </c>
      <c r="K14" s="24" t="s">
        <v>289</v>
      </c>
      <c r="L14" s="24" t="s">
        <v>289</v>
      </c>
      <c r="M14" s="8"/>
      <c r="N14" s="263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3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3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289</v>
      </c>
      <c r="L17" s="24" t="s">
        <v>289</v>
      </c>
      <c r="M17" s="8"/>
      <c r="N17" s="263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289</v>
      </c>
      <c r="L18" s="24" t="s">
        <v>289</v>
      </c>
      <c r="M18" s="8"/>
      <c r="N18" s="263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1295518.2999999998</v>
      </c>
      <c r="G19" s="41">
        <f>SUM(G9:G18)</f>
        <v>26771.490000000005</v>
      </c>
      <c r="H19" s="41">
        <f>SUM(H9:H18)</f>
        <v>-7269.2799999999988</v>
      </c>
      <c r="I19" s="41">
        <f>SUM(I9:I18)</f>
        <v>0</v>
      </c>
      <c r="J19" s="41">
        <f>SUM(J9:J18)</f>
        <v>796482.53</v>
      </c>
      <c r="K19" s="45" t="s">
        <v>289</v>
      </c>
      <c r="L19" s="45" t="s">
        <v>289</v>
      </c>
      <c r="M19" s="8"/>
      <c r="N19" s="263"/>
    </row>
    <row r="20" spans="1:14" s="3" customFormat="1" ht="12" customHeight="1" x14ac:dyDescent="0.15">
      <c r="A20" s="1" t="s">
        <v>455</v>
      </c>
      <c r="C20" s="154"/>
      <c r="F20" s="13"/>
      <c r="G20" s="13"/>
      <c r="H20" s="13"/>
      <c r="I20" s="13"/>
      <c r="J20" s="13"/>
      <c r="K20" s="13"/>
      <c r="L20" s="13"/>
      <c r="M20" s="8"/>
      <c r="N20" s="263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3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141809.32+10000</f>
        <v>151809.32</v>
      </c>
      <c r="G22" s="18">
        <v>0</v>
      </c>
      <c r="H22" s="18">
        <v>0</v>
      </c>
      <c r="I22" s="18">
        <v>0</v>
      </c>
      <c r="J22" s="66">
        <f>SUM(I448)</f>
        <v>0</v>
      </c>
      <c r="K22" s="24" t="s">
        <v>289</v>
      </c>
      <c r="L22" s="24" t="s">
        <v>289</v>
      </c>
      <c r="M22" s="8"/>
      <c r="N22" s="263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289</v>
      </c>
      <c r="L23" s="24" t="s">
        <v>289</v>
      </c>
      <c r="M23" s="8"/>
      <c r="N23" s="263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21884.77</v>
      </c>
      <c r="G24" s="18">
        <v>0</v>
      </c>
      <c r="H24" s="18">
        <v>0</v>
      </c>
      <c r="I24" s="18">
        <v>0</v>
      </c>
      <c r="J24" s="66">
        <f>SUM(I450)</f>
        <v>0</v>
      </c>
      <c r="K24" s="24" t="s">
        <v>289</v>
      </c>
      <c r="L24" s="24" t="s">
        <v>289</v>
      </c>
      <c r="M24" s="8"/>
      <c r="N24" s="263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3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3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3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3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52899.22</v>
      </c>
      <c r="G29" s="18">
        <v>21736.19</v>
      </c>
      <c r="H29" s="18">
        <v>-7269.28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3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3291.97</v>
      </c>
      <c r="G30" s="18">
        <v>5035.3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3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289</v>
      </c>
      <c r="L31" s="24" t="s">
        <v>289</v>
      </c>
      <c r="M31" s="8"/>
      <c r="N31" s="263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229885.28</v>
      </c>
      <c r="G32" s="41">
        <f>SUM(G22:G31)</f>
        <v>26771.489999999998</v>
      </c>
      <c r="H32" s="41">
        <f>SUM(H22:H31)</f>
        <v>-7269.28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3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3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3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3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3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63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3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63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3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3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3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2337.17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63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80000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3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63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249664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3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3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796482.53</v>
      </c>
      <c r="K48" s="24" t="s">
        <v>289</v>
      </c>
      <c r="L48" s="24" t="s">
        <v>289</v>
      </c>
      <c r="M48" s="8"/>
      <c r="N48" s="263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187866.19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63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f>555765.66-10000</f>
        <v>545765.66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3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1065633.02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796482.53</v>
      </c>
      <c r="K51" s="45" t="s">
        <v>289</v>
      </c>
      <c r="L51" s="45" t="s">
        <v>289</v>
      </c>
      <c r="N51" s="26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1295518.3</v>
      </c>
      <c r="G52" s="41">
        <f>G51+G32</f>
        <v>26771.489999999998</v>
      </c>
      <c r="H52" s="41">
        <f>H51+H32</f>
        <v>-7269.28</v>
      </c>
      <c r="I52" s="41">
        <f>I51+I32</f>
        <v>0</v>
      </c>
      <c r="J52" s="41">
        <f>J51+J32</f>
        <v>796482.53</v>
      </c>
      <c r="K52" s="45" t="s">
        <v>289</v>
      </c>
      <c r="L52" s="45" t="s">
        <v>289</v>
      </c>
      <c r="M52" s="8"/>
      <c r="N52" s="263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3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3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3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3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8728736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63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63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64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8728736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64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3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3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3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3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64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3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3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3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5277.82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3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192202.43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3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3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19218.599999999999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3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3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3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3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3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3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216698.85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63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3"/>
    </row>
    <row r="81" spans="1:14" s="3" customFormat="1" ht="12" customHeight="1" x14ac:dyDescent="0.2">
      <c r="A81" s="165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3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3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3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3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3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3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3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3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3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3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3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3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3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3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3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4372.18</v>
      </c>
      <c r="G96" s="18">
        <v>0</v>
      </c>
      <c r="H96" s="18">
        <v>0</v>
      </c>
      <c r="I96" s="18">
        <v>0</v>
      </c>
      <c r="J96" s="18">
        <f>2057.49</f>
        <v>2057.4899999999998</v>
      </c>
      <c r="K96" s="24" t="s">
        <v>289</v>
      </c>
      <c r="L96" s="24" t="s">
        <v>289</v>
      </c>
      <c r="M96" s="8"/>
      <c r="N96" s="263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124051.82999999999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3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3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3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3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468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63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63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3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3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3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3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3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3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63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255949.68-F181</f>
        <v>245647.99</v>
      </c>
      <c r="G110" s="18">
        <v>24555.83</v>
      </c>
      <c r="H110" s="18">
        <v>0</v>
      </c>
      <c r="I110" s="18">
        <v>0</v>
      </c>
      <c r="J110" s="18">
        <v>12482</v>
      </c>
      <c r="K110" s="24" t="s">
        <v>289</v>
      </c>
      <c r="L110" s="24" t="s">
        <v>289</v>
      </c>
      <c r="M110" s="8"/>
      <c r="N110" s="263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250488.16999999998</v>
      </c>
      <c r="G111" s="41">
        <f>SUM(G96:G110)</f>
        <v>148607.65999999997</v>
      </c>
      <c r="H111" s="41">
        <f>SUM(H96:H110)</f>
        <v>0</v>
      </c>
      <c r="I111" s="41">
        <f>SUM(I96:I110)</f>
        <v>0</v>
      </c>
      <c r="J111" s="41">
        <f>SUM(J96:J110)</f>
        <v>14539.49</v>
      </c>
      <c r="K111" s="45" t="s">
        <v>289</v>
      </c>
      <c r="L111" s="45" t="s">
        <v>289</v>
      </c>
      <c r="N111" s="26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9195923.0199999996</v>
      </c>
      <c r="G112" s="41">
        <f>G60+G111</f>
        <v>148607.65999999997</v>
      </c>
      <c r="H112" s="41">
        <f>H60+H79+H94+H111</f>
        <v>0</v>
      </c>
      <c r="I112" s="41">
        <f>I60+I111</f>
        <v>0</v>
      </c>
      <c r="J112" s="41">
        <f>J60+J111</f>
        <v>14539.49</v>
      </c>
      <c r="K112" s="45" t="s">
        <v>289</v>
      </c>
      <c r="L112" s="45" t="s">
        <v>289</v>
      </c>
      <c r="M112" s="8"/>
      <c r="N112" s="263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3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3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3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3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3542244.37-F120</f>
        <v>3541924.43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3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1257813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3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3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319.94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63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4800057.37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3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3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220141.2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63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63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3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3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248050.05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3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6168.4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3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3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3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3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3832.6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3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3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63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63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474359.65</v>
      </c>
      <c r="G136" s="41">
        <f>SUM(G123:G135)</f>
        <v>3832.6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63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3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3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3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5274417.0200000005</v>
      </c>
      <c r="G140" s="41">
        <f>G121+SUM(G136:G137)</f>
        <v>3832.6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63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3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3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17" t="s">
        <v>772</v>
      </c>
      <c r="I143" s="16" t="s">
        <v>284</v>
      </c>
      <c r="J143" s="16" t="s">
        <v>285</v>
      </c>
      <c r="K143" s="20"/>
      <c r="L143" s="20"/>
      <c r="M143" s="8"/>
      <c r="N143" s="263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3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149781.63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3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63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149781.63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3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3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3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3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3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63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3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274907.5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3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94588.23000000001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3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75123.55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3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3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212516.73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3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191703.51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3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145984.78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3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760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63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146744.78</v>
      </c>
      <c r="G162" s="41">
        <f>SUM(G150:G161)</f>
        <v>212516.73</v>
      </c>
      <c r="H162" s="41">
        <f>SUM(H150:H161)</f>
        <v>636322.79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3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63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3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1618.63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3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3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3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3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298145.04000000004</v>
      </c>
      <c r="G169" s="41">
        <f>G147+G162+SUM(G163:G168)</f>
        <v>212516.73</v>
      </c>
      <c r="H169" s="41">
        <f>H147+H162+SUM(H163:H168)</f>
        <v>636322.79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3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3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3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17" t="s">
        <v>772</v>
      </c>
      <c r="I172" s="16" t="s">
        <v>284</v>
      </c>
      <c r="J172" s="16" t="s">
        <v>285</v>
      </c>
      <c r="K172" s="20"/>
      <c r="L172" s="20"/>
      <c r="M172" s="8"/>
      <c r="N172" s="263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3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3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3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63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63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3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68241.95</v>
      </c>
      <c r="H179" s="18">
        <v>0</v>
      </c>
      <c r="I179" s="18">
        <v>57586.5</v>
      </c>
      <c r="J179" s="18">
        <v>90000</v>
      </c>
      <c r="K179" s="24" t="s">
        <v>289</v>
      </c>
      <c r="L179" s="24" t="s">
        <v>289</v>
      </c>
      <c r="M179" s="8"/>
      <c r="N179" s="263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3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f>$K$344</f>
        <v>10301.69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63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63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10301.69</v>
      </c>
      <c r="G183" s="41">
        <f>SUM(G179:G182)</f>
        <v>68241.95</v>
      </c>
      <c r="H183" s="41">
        <f>SUM(H179:H182)</f>
        <v>0</v>
      </c>
      <c r="I183" s="41">
        <f>SUM(I179:I182)</f>
        <v>57586.5</v>
      </c>
      <c r="J183" s="41">
        <f>SUM(J179:J182)</f>
        <v>90000</v>
      </c>
      <c r="K183" s="45" t="s">
        <v>289</v>
      </c>
      <c r="L183" s="45" t="s">
        <v>289</v>
      </c>
      <c r="M183" s="8"/>
      <c r="N183" s="263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3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3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63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3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3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63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1" t="s">
        <v>431</v>
      </c>
      <c r="E192" s="51">
        <v>5000</v>
      </c>
      <c r="F192" s="41">
        <f>F177+F183+SUM(F188:F191)</f>
        <v>10301.69</v>
      </c>
      <c r="G192" s="41">
        <f>G183+SUM(G188:G191)</f>
        <v>68241.95</v>
      </c>
      <c r="H192" s="41">
        <f>+H183+SUM(H188:H191)</f>
        <v>0</v>
      </c>
      <c r="I192" s="41">
        <f>I177+I183+SUM(I188:I191)</f>
        <v>57586.5</v>
      </c>
      <c r="J192" s="41">
        <f>J183</f>
        <v>90000</v>
      </c>
      <c r="K192" s="45" t="s">
        <v>289</v>
      </c>
      <c r="L192" s="45" t="s">
        <v>289</v>
      </c>
      <c r="M192" s="8"/>
      <c r="N192" s="263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2" t="s">
        <v>431</v>
      </c>
      <c r="E193" s="44"/>
      <c r="F193" s="47">
        <f>F112+F140+F169+F192</f>
        <v>14778786.769999998</v>
      </c>
      <c r="G193" s="47">
        <f>G112+G140+G169+G192</f>
        <v>433198.94</v>
      </c>
      <c r="H193" s="47">
        <f>H112+H140+H169+H192</f>
        <v>636322.79</v>
      </c>
      <c r="I193" s="47">
        <f>I112+I140+I169+I192</f>
        <v>57586.5</v>
      </c>
      <c r="J193" s="47">
        <f>J112+J140+J192</f>
        <v>104539.49</v>
      </c>
      <c r="K193" s="45" t="s">
        <v>289</v>
      </c>
      <c r="L193" s="45" t="s">
        <v>289</v>
      </c>
      <c r="M193" s="8"/>
      <c r="N193" s="263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1" t="s">
        <v>693</v>
      </c>
      <c r="G194" s="171" t="s">
        <v>694</v>
      </c>
      <c r="H194" s="171" t="s">
        <v>695</v>
      </c>
      <c r="I194" s="171" t="s">
        <v>696</v>
      </c>
      <c r="J194" s="171" t="s">
        <v>697</v>
      </c>
      <c r="K194" s="171" t="s">
        <v>698</v>
      </c>
      <c r="L194" s="56"/>
      <c r="M194" s="8"/>
      <c r="N194" s="263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63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3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1790469.13</v>
      </c>
      <c r="G197" s="18">
        <v>982580.74</v>
      </c>
      <c r="H197" s="18">
        <v>6834.44</v>
      </c>
      <c r="I197" s="18">
        <v>89179.64</v>
      </c>
      <c r="J197" s="18">
        <v>9728.0400000000009</v>
      </c>
      <c r="K197" s="18">
        <v>0</v>
      </c>
      <c r="L197" s="19">
        <f>SUM(F197:K197)</f>
        <v>2878791.99</v>
      </c>
      <c r="M197" s="8"/>
      <c r="N197" s="263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796027.29</v>
      </c>
      <c r="G198" s="18">
        <v>501668.02</v>
      </c>
      <c r="H198" s="18">
        <v>55443.15</v>
      </c>
      <c r="I198" s="18">
        <v>4292.9799999999996</v>
      </c>
      <c r="J198" s="18">
        <v>773.38</v>
      </c>
      <c r="K198" s="18">
        <v>717.67</v>
      </c>
      <c r="L198" s="19">
        <f>SUM(F198:K198)</f>
        <v>1358922.4899999998</v>
      </c>
      <c r="M198" s="8"/>
      <c r="N198" s="263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3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1469</v>
      </c>
      <c r="G200" s="18">
        <v>199.85</v>
      </c>
      <c r="H200" s="18">
        <v>0</v>
      </c>
      <c r="I200" s="18">
        <v>760</v>
      </c>
      <c r="J200" s="18">
        <v>0</v>
      </c>
      <c r="K200" s="18">
        <v>0</v>
      </c>
      <c r="L200" s="19">
        <f>SUM(F200:K200)</f>
        <v>2428.85</v>
      </c>
      <c r="M200" s="8"/>
      <c r="N200" s="263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3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366608.65</v>
      </c>
      <c r="G202" s="18">
        <v>161956.37</v>
      </c>
      <c r="H202" s="18">
        <v>17506.93</v>
      </c>
      <c r="I202" s="18">
        <v>9056.83</v>
      </c>
      <c r="J202" s="18">
        <v>1405.02</v>
      </c>
      <c r="K202" s="18">
        <v>1685.4</v>
      </c>
      <c r="L202" s="19">
        <f t="shared" ref="L202:L208" si="0">SUM(F202:K202)</f>
        <v>558219.20000000007</v>
      </c>
      <c r="M202" s="8"/>
      <c r="N202" s="263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142220</v>
      </c>
      <c r="G203" s="18">
        <v>73667.42</v>
      </c>
      <c r="H203" s="18">
        <v>3917.5</v>
      </c>
      <c r="I203" s="18">
        <v>639.70000000000005</v>
      </c>
      <c r="J203" s="18">
        <v>0</v>
      </c>
      <c r="K203" s="18">
        <v>9040.67</v>
      </c>
      <c r="L203" s="19">
        <f t="shared" si="0"/>
        <v>229485.29</v>
      </c>
      <c r="M203" s="8"/>
      <c r="N203" s="263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150605.47</v>
      </c>
      <c r="G204" s="18">
        <v>56846.92</v>
      </c>
      <c r="H204" s="18">
        <v>87338.48</v>
      </c>
      <c r="I204" s="18">
        <v>5661.2</v>
      </c>
      <c r="J204" s="18">
        <v>445</v>
      </c>
      <c r="K204" s="18">
        <v>10717.18</v>
      </c>
      <c r="L204" s="19">
        <f t="shared" si="0"/>
        <v>311614.25</v>
      </c>
      <c r="M204" s="8"/>
      <c r="N204" s="263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260912.26</v>
      </c>
      <c r="G205" s="18">
        <v>112069.68</v>
      </c>
      <c r="H205" s="18">
        <v>5315.2</v>
      </c>
      <c r="I205" s="18">
        <v>17064.86</v>
      </c>
      <c r="J205" s="18">
        <v>2921.59</v>
      </c>
      <c r="K205" s="18">
        <v>5433.47</v>
      </c>
      <c r="L205" s="19">
        <f t="shared" si="0"/>
        <v>403717.06</v>
      </c>
      <c r="M205" s="8"/>
      <c r="N205" s="263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62502.31</v>
      </c>
      <c r="G206" s="18">
        <v>23618.13</v>
      </c>
      <c r="H206" s="18">
        <v>3136.67</v>
      </c>
      <c r="I206" s="18">
        <v>875.12</v>
      </c>
      <c r="J206" s="18">
        <v>0</v>
      </c>
      <c r="K206" s="18">
        <v>486.62</v>
      </c>
      <c r="L206" s="19">
        <f t="shared" si="0"/>
        <v>90618.849999999991</v>
      </c>
      <c r="M206" s="8"/>
      <c r="N206" s="263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144432.85999999999</v>
      </c>
      <c r="G207" s="18">
        <v>90719.43</v>
      </c>
      <c r="H207" s="18">
        <v>99731.4</v>
      </c>
      <c r="I207" s="18">
        <v>111117.88</v>
      </c>
      <c r="J207" s="18">
        <v>35317.31</v>
      </c>
      <c r="K207" s="18">
        <v>1115.75</v>
      </c>
      <c r="L207" s="19">
        <f t="shared" si="0"/>
        <v>482434.62999999995</v>
      </c>
      <c r="M207" s="8"/>
      <c r="N207" s="263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22273.200000000001</v>
      </c>
      <c r="G208" s="18">
        <v>15117.84</v>
      </c>
      <c r="H208" s="18">
        <v>133720.97</v>
      </c>
      <c r="I208" s="18">
        <v>3614.46</v>
      </c>
      <c r="J208" s="18">
        <v>0</v>
      </c>
      <c r="K208" s="18">
        <v>0</v>
      </c>
      <c r="L208" s="19">
        <f t="shared" si="0"/>
        <v>174726.47</v>
      </c>
      <c r="M208" s="8"/>
      <c r="N208" s="263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59932.12</v>
      </c>
      <c r="G209" s="18">
        <v>18982.240000000002</v>
      </c>
      <c r="H209" s="18">
        <v>81482</v>
      </c>
      <c r="I209" s="18">
        <v>8167.42</v>
      </c>
      <c r="J209" s="18">
        <v>50861.65</v>
      </c>
      <c r="K209" s="18">
        <v>1589.91</v>
      </c>
      <c r="L209" s="19">
        <f>SUM(F209:K209)</f>
        <v>221015.34</v>
      </c>
      <c r="M209" s="8"/>
      <c r="N209" s="263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3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3797452.29</v>
      </c>
      <c r="G211" s="41">
        <f t="shared" si="1"/>
        <v>2037426.6399999997</v>
      </c>
      <c r="H211" s="41">
        <f t="shared" si="1"/>
        <v>494426.74</v>
      </c>
      <c r="I211" s="41">
        <f t="shared" si="1"/>
        <v>250430.09</v>
      </c>
      <c r="J211" s="41">
        <f t="shared" si="1"/>
        <v>101451.98999999999</v>
      </c>
      <c r="K211" s="41">
        <f t="shared" si="1"/>
        <v>30786.67</v>
      </c>
      <c r="L211" s="41">
        <f t="shared" si="1"/>
        <v>6711974.419999999</v>
      </c>
      <c r="M211" s="8"/>
      <c r="N211" s="263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1" t="s">
        <v>693</v>
      </c>
      <c r="G212" s="171" t="s">
        <v>694</v>
      </c>
      <c r="H212" s="171" t="s">
        <v>695</v>
      </c>
      <c r="I212" s="171" t="s">
        <v>696</v>
      </c>
      <c r="J212" s="171" t="s">
        <v>697</v>
      </c>
      <c r="K212" s="171" t="s">
        <v>698</v>
      </c>
      <c r="L212" s="66"/>
      <c r="M212" s="8"/>
      <c r="N212" s="263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63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3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474237.97</v>
      </c>
      <c r="G215" s="18">
        <v>264321.51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738559.48</v>
      </c>
      <c r="M215" s="8"/>
      <c r="N215" s="263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206227.96</v>
      </c>
      <c r="G216" s="18">
        <v>87024.74</v>
      </c>
      <c r="H216" s="18">
        <v>50767.02</v>
      </c>
      <c r="I216" s="18">
        <v>3729.83</v>
      </c>
      <c r="J216" s="18">
        <v>67.39</v>
      </c>
      <c r="K216" s="18">
        <v>125</v>
      </c>
      <c r="L216" s="19">
        <f>SUM(F216:K216)</f>
        <v>347941.94000000006</v>
      </c>
      <c r="M216" s="8"/>
      <c r="N216" s="263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18066.099999999999</v>
      </c>
      <c r="G217" s="18">
        <v>10256.82</v>
      </c>
      <c r="H217" s="18">
        <v>0</v>
      </c>
      <c r="I217" s="18">
        <v>684.27</v>
      </c>
      <c r="J217" s="18">
        <v>0</v>
      </c>
      <c r="K217" s="18">
        <v>0</v>
      </c>
      <c r="L217" s="19">
        <f>SUM(F217:K217)</f>
        <v>29007.19</v>
      </c>
      <c r="M217" s="8"/>
      <c r="N217" s="263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25035.5</v>
      </c>
      <c r="G218" s="18">
        <v>3099.11</v>
      </c>
      <c r="H218" s="18">
        <v>1644</v>
      </c>
      <c r="I218" s="18">
        <v>0</v>
      </c>
      <c r="J218" s="18">
        <v>0</v>
      </c>
      <c r="K218" s="18">
        <v>2740</v>
      </c>
      <c r="L218" s="19">
        <f>SUM(F218:K218)</f>
        <v>32518.61</v>
      </c>
      <c r="M218" s="8"/>
      <c r="N218" s="263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3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68793.19</v>
      </c>
      <c r="G220" s="18">
        <v>34852.339999999997</v>
      </c>
      <c r="H220" s="18">
        <v>15946.93</v>
      </c>
      <c r="I220" s="18">
        <v>260</v>
      </c>
      <c r="J220" s="18">
        <v>0</v>
      </c>
      <c r="K220" s="18">
        <v>200</v>
      </c>
      <c r="L220" s="19">
        <f t="shared" ref="L220:L226" si="2">SUM(F220:K220)</f>
        <v>120052.45999999999</v>
      </c>
      <c r="M220" s="8"/>
      <c r="N220" s="263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26497.919999999998</v>
      </c>
      <c r="G221" s="18">
        <v>14483.56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40981.479999999996</v>
      </c>
      <c r="M221" s="8"/>
      <c r="N221" s="263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60242.19</v>
      </c>
      <c r="G222" s="18">
        <v>22738.75</v>
      </c>
      <c r="H222" s="18">
        <v>34935.379999999997</v>
      </c>
      <c r="I222" s="18">
        <v>2264.48</v>
      </c>
      <c r="J222" s="18">
        <v>178</v>
      </c>
      <c r="K222" s="18">
        <v>4286.88</v>
      </c>
      <c r="L222" s="19">
        <f t="shared" si="2"/>
        <v>124645.68000000001</v>
      </c>
      <c r="M222" s="8"/>
      <c r="N222" s="263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35669.9</v>
      </c>
      <c r="G223" s="18">
        <v>8516.69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44186.590000000004</v>
      </c>
      <c r="M223" s="8"/>
      <c r="N223" s="263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25000.92</v>
      </c>
      <c r="G224" s="18">
        <v>9447.24</v>
      </c>
      <c r="H224" s="18">
        <v>1254.67</v>
      </c>
      <c r="I224" s="18">
        <v>350.05</v>
      </c>
      <c r="J224" s="18">
        <v>0</v>
      </c>
      <c r="K224" s="18">
        <v>194.65</v>
      </c>
      <c r="L224" s="19">
        <f t="shared" si="2"/>
        <v>36247.53</v>
      </c>
      <c r="M224" s="8"/>
      <c r="N224" s="263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24523.22</v>
      </c>
      <c r="G225" s="18">
        <v>20202.63</v>
      </c>
      <c r="H225" s="18">
        <v>6262.63</v>
      </c>
      <c r="I225" s="18">
        <v>4828.1899999999996</v>
      </c>
      <c r="J225" s="18">
        <v>0</v>
      </c>
      <c r="K225" s="18">
        <v>0</v>
      </c>
      <c r="L225" s="19">
        <f t="shared" si="2"/>
        <v>55816.670000000006</v>
      </c>
      <c r="M225" s="8"/>
      <c r="N225" s="263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46272.63</v>
      </c>
      <c r="I226" s="18">
        <v>0</v>
      </c>
      <c r="J226" s="18">
        <v>0</v>
      </c>
      <c r="K226" s="18">
        <v>0</v>
      </c>
      <c r="L226" s="19">
        <f t="shared" si="2"/>
        <v>46272.63</v>
      </c>
      <c r="M226" s="8"/>
      <c r="N226" s="263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23972.85</v>
      </c>
      <c r="G227" s="18">
        <v>7592.9</v>
      </c>
      <c r="H227" s="18">
        <v>32592.79</v>
      </c>
      <c r="I227" s="18">
        <v>3266.97</v>
      </c>
      <c r="J227" s="18">
        <v>20344.66</v>
      </c>
      <c r="K227" s="18">
        <v>635.96</v>
      </c>
      <c r="L227" s="19">
        <f>SUM(F227:K227)</f>
        <v>88406.13</v>
      </c>
      <c r="M227" s="8"/>
      <c r="N227" s="263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3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988267.72000000009</v>
      </c>
      <c r="G229" s="41">
        <f>SUM(G215:G228)</f>
        <v>482536.29000000004</v>
      </c>
      <c r="H229" s="41">
        <f>SUM(H215:H228)</f>
        <v>189676.05</v>
      </c>
      <c r="I229" s="41">
        <f>SUM(I215:I228)</f>
        <v>15383.789999999999</v>
      </c>
      <c r="J229" s="41">
        <f>SUM(J215:J228)</f>
        <v>20590.05</v>
      </c>
      <c r="K229" s="41">
        <f t="shared" si="3"/>
        <v>8182.49</v>
      </c>
      <c r="L229" s="41">
        <f t="shared" si="3"/>
        <v>1704636.3899999997</v>
      </c>
      <c r="M229" s="8"/>
      <c r="N229" s="263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1" t="s">
        <v>693</v>
      </c>
      <c r="G230" s="171" t="s">
        <v>694</v>
      </c>
      <c r="H230" s="171" t="s">
        <v>695</v>
      </c>
      <c r="I230" s="171" t="s">
        <v>696</v>
      </c>
      <c r="J230" s="171" t="s">
        <v>697</v>
      </c>
      <c r="K230" s="171" t="s">
        <v>698</v>
      </c>
      <c r="L230" s="66"/>
      <c r="M230" s="8"/>
      <c r="N230" s="263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63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3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893364.76</v>
      </c>
      <c r="G233" s="18">
        <v>455574.81</v>
      </c>
      <c r="H233" s="18">
        <v>43088.11</v>
      </c>
      <c r="I233" s="18">
        <v>43794.14</v>
      </c>
      <c r="J233" s="18">
        <v>10826.05</v>
      </c>
      <c r="K233" s="18">
        <v>0</v>
      </c>
      <c r="L233" s="19">
        <f>SUM(F233:K233)</f>
        <v>1446647.87</v>
      </c>
      <c r="M233" s="8"/>
      <c r="N233" s="263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432865.58</v>
      </c>
      <c r="G234" s="18">
        <v>208771.56</v>
      </c>
      <c r="H234" s="18">
        <v>10453.66</v>
      </c>
      <c r="I234" s="18">
        <v>7421.04</v>
      </c>
      <c r="J234" s="18">
        <v>387.87</v>
      </c>
      <c r="K234" s="18">
        <v>1397.81</v>
      </c>
      <c r="L234" s="19">
        <f>SUM(F234:K234)</f>
        <v>661297.52000000014</v>
      </c>
      <c r="M234" s="8"/>
      <c r="N234" s="263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668966.43000000005</v>
      </c>
      <c r="G235" s="18">
        <v>324205.07</v>
      </c>
      <c r="H235" s="18">
        <v>10127.83</v>
      </c>
      <c r="I235" s="18">
        <v>21502.97</v>
      </c>
      <c r="J235" s="18">
        <v>8096.26</v>
      </c>
      <c r="K235" s="18">
        <v>2837.27</v>
      </c>
      <c r="L235" s="19">
        <f>SUM(F235:K235)</f>
        <v>1035735.83</v>
      </c>
      <c r="M235" s="8"/>
      <c r="N235" s="263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99223.97</v>
      </c>
      <c r="G236" s="18">
        <v>15515.22</v>
      </c>
      <c r="H236" s="18">
        <v>24756</v>
      </c>
      <c r="I236" s="18">
        <v>5036.71</v>
      </c>
      <c r="J236" s="18">
        <v>15905.82</v>
      </c>
      <c r="K236" s="18">
        <v>19243.07</v>
      </c>
      <c r="L236" s="19">
        <f>SUM(F236:K236)</f>
        <v>179680.79</v>
      </c>
      <c r="M236" s="8"/>
      <c r="N236" s="263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3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240700.04</v>
      </c>
      <c r="G238" s="18">
        <v>130115.52</v>
      </c>
      <c r="H238" s="18">
        <v>18008.310000000001</v>
      </c>
      <c r="I238" s="18">
        <v>5985.39</v>
      </c>
      <c r="J238" s="18">
        <v>499.99</v>
      </c>
      <c r="K238" s="18">
        <v>1511.57</v>
      </c>
      <c r="L238" s="19">
        <f t="shared" ref="L238:L244" si="4">SUM(F238:K238)</f>
        <v>396820.82</v>
      </c>
      <c r="M238" s="8"/>
      <c r="N238" s="263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111332.08</v>
      </c>
      <c r="G239" s="18">
        <v>58552.56</v>
      </c>
      <c r="H239" s="18">
        <v>992.5</v>
      </c>
      <c r="I239" s="18">
        <v>4540.6000000000004</v>
      </c>
      <c r="J239" s="18">
        <v>89.7</v>
      </c>
      <c r="K239" s="18">
        <v>14277.07</v>
      </c>
      <c r="L239" s="19">
        <f t="shared" si="4"/>
        <v>189784.51000000004</v>
      </c>
      <c r="M239" s="8"/>
      <c r="N239" s="263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90363.27</v>
      </c>
      <c r="G240" s="18">
        <v>34108.11</v>
      </c>
      <c r="H240" s="18">
        <v>52403.03</v>
      </c>
      <c r="I240" s="18">
        <v>3396.71</v>
      </c>
      <c r="J240" s="18">
        <v>267</v>
      </c>
      <c r="K240" s="18">
        <v>6430.29</v>
      </c>
      <c r="L240" s="19">
        <f t="shared" si="4"/>
        <v>186968.41</v>
      </c>
      <c r="M240" s="8"/>
      <c r="N240" s="263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241336.13</v>
      </c>
      <c r="G241" s="18">
        <v>106735.85</v>
      </c>
      <c r="H241" s="18">
        <v>12791.89</v>
      </c>
      <c r="I241" s="18">
        <v>13416</v>
      </c>
      <c r="J241" s="18">
        <v>2473.2800000000002</v>
      </c>
      <c r="K241" s="18">
        <v>21205.46</v>
      </c>
      <c r="L241" s="19">
        <f t="shared" si="4"/>
        <v>397958.61000000004</v>
      </c>
      <c r="M241" s="8"/>
      <c r="N241" s="263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37501.39</v>
      </c>
      <c r="G242" s="18">
        <v>14170.87</v>
      </c>
      <c r="H242" s="18">
        <v>1881.99</v>
      </c>
      <c r="I242" s="18">
        <v>525.05999999999995</v>
      </c>
      <c r="J242" s="18">
        <v>0</v>
      </c>
      <c r="K242" s="18">
        <v>291.97000000000003</v>
      </c>
      <c r="L242" s="19">
        <f t="shared" si="4"/>
        <v>54371.28</v>
      </c>
      <c r="M242" s="8"/>
      <c r="N242" s="263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197407.71</v>
      </c>
      <c r="G243" s="18">
        <v>94445.4</v>
      </c>
      <c r="H243" s="18">
        <v>100012.17</v>
      </c>
      <c r="I243" s="18">
        <v>244889.28</v>
      </c>
      <c r="J243" s="18">
        <v>22721.77</v>
      </c>
      <c r="K243" s="18">
        <v>1627.02</v>
      </c>
      <c r="L243" s="19">
        <f t="shared" si="4"/>
        <v>661103.35</v>
      </c>
      <c r="M243" s="8"/>
      <c r="N243" s="263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173556.17</v>
      </c>
      <c r="I244" s="18">
        <v>0</v>
      </c>
      <c r="J244" s="18">
        <v>0</v>
      </c>
      <c r="K244" s="18">
        <v>0</v>
      </c>
      <c r="L244" s="19">
        <f t="shared" si="4"/>
        <v>173556.17</v>
      </c>
      <c r="M244" s="8"/>
      <c r="N244" s="263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35959.269999999997</v>
      </c>
      <c r="G245" s="18">
        <v>11389.32</v>
      </c>
      <c r="H245" s="18">
        <v>48889.19</v>
      </c>
      <c r="I245" s="18">
        <v>4900.45</v>
      </c>
      <c r="J245" s="18">
        <v>30516.99</v>
      </c>
      <c r="K245" s="18">
        <v>953.94</v>
      </c>
      <c r="L245" s="19">
        <f>SUM(F245:K245)</f>
        <v>132609.16</v>
      </c>
      <c r="M245" s="8"/>
      <c r="N245" s="263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3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3049020.63</v>
      </c>
      <c r="G247" s="41">
        <f t="shared" si="5"/>
        <v>1453584.2900000003</v>
      </c>
      <c r="H247" s="41">
        <f t="shared" si="5"/>
        <v>496960.85000000003</v>
      </c>
      <c r="I247" s="41">
        <f t="shared" si="5"/>
        <v>355408.35000000003</v>
      </c>
      <c r="J247" s="41">
        <f t="shared" si="5"/>
        <v>91784.73</v>
      </c>
      <c r="K247" s="41">
        <f t="shared" si="5"/>
        <v>69775.470000000016</v>
      </c>
      <c r="L247" s="41">
        <f t="shared" si="5"/>
        <v>5516534.3200000003</v>
      </c>
      <c r="M247" s="8"/>
      <c r="N247" s="263"/>
    </row>
    <row r="248" spans="1:14" s="3" customFormat="1" ht="12" customHeight="1" x14ac:dyDescent="0.15">
      <c r="A248" s="69"/>
      <c r="B248" s="36"/>
      <c r="C248" s="37"/>
      <c r="D248" s="37"/>
      <c r="E248" s="37"/>
      <c r="F248" s="171" t="s">
        <v>693</v>
      </c>
      <c r="G248" s="171" t="s">
        <v>694</v>
      </c>
      <c r="H248" s="171" t="s">
        <v>695</v>
      </c>
      <c r="I248" s="171" t="s">
        <v>696</v>
      </c>
      <c r="J248" s="171" t="s">
        <v>697</v>
      </c>
      <c r="K248" s="171" t="s">
        <v>698</v>
      </c>
      <c r="L248" s="66"/>
      <c r="M248" s="8"/>
      <c r="N248" s="263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63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63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3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3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3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3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63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63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7834740.6399999997</v>
      </c>
      <c r="G257" s="41">
        <f t="shared" si="8"/>
        <v>3973547.2199999997</v>
      </c>
      <c r="H257" s="41">
        <f t="shared" si="8"/>
        <v>1181063.6400000001</v>
      </c>
      <c r="I257" s="41">
        <f t="shared" si="8"/>
        <v>621222.23</v>
      </c>
      <c r="J257" s="41">
        <f t="shared" si="8"/>
        <v>213826.77</v>
      </c>
      <c r="K257" s="41">
        <f t="shared" si="8"/>
        <v>108744.63</v>
      </c>
      <c r="L257" s="41">
        <f t="shared" si="8"/>
        <v>13933145.129999999</v>
      </c>
      <c r="M257" s="8"/>
      <c r="N257" s="263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3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3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560000</v>
      </c>
      <c r="L260" s="19">
        <f>SUM(F260:K260)</f>
        <v>560000</v>
      </c>
      <c r="M260" s="8"/>
      <c r="N260" s="263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252583</v>
      </c>
      <c r="L261" s="19">
        <f>SUM(F261:K261)</f>
        <v>252583</v>
      </c>
      <c r="N261" s="26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68241.95</v>
      </c>
      <c r="L263" s="19">
        <f>SUM(F263:K263)</f>
        <v>68241.95</v>
      </c>
      <c r="N263" s="26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6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57586.5</v>
      </c>
      <c r="L265" s="19">
        <f t="shared" si="9"/>
        <v>57586.5</v>
      </c>
      <c r="N265" s="26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90000</v>
      </c>
      <c r="L266" s="19">
        <f t="shared" si="9"/>
        <v>90000</v>
      </c>
      <c r="N266" s="26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6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1028411.45</v>
      </c>
      <c r="L270" s="41">
        <f t="shared" si="9"/>
        <v>1028411.45</v>
      </c>
      <c r="N270" s="26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7834740.6399999997</v>
      </c>
      <c r="G271" s="42">
        <f t="shared" si="11"/>
        <v>3973547.2199999997</v>
      </c>
      <c r="H271" s="42">
        <f t="shared" si="11"/>
        <v>1181063.6400000001</v>
      </c>
      <c r="I271" s="42">
        <f t="shared" si="11"/>
        <v>621222.23</v>
      </c>
      <c r="J271" s="42">
        <f t="shared" si="11"/>
        <v>213826.77</v>
      </c>
      <c r="K271" s="42">
        <f t="shared" si="11"/>
        <v>1137156.08</v>
      </c>
      <c r="L271" s="42">
        <f t="shared" si="11"/>
        <v>14961556.579999998</v>
      </c>
      <c r="M271" s="8"/>
      <c r="N271" s="263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3"/>
    </row>
    <row r="273" spans="1:14" s="3" customFormat="1" ht="12" customHeight="1" x14ac:dyDescent="0.15">
      <c r="A273" s="29" t="s">
        <v>467</v>
      </c>
      <c r="F273" s="171" t="s">
        <v>693</v>
      </c>
      <c r="G273" s="171" t="s">
        <v>694</v>
      </c>
      <c r="H273" s="171" t="s">
        <v>695</v>
      </c>
      <c r="I273" s="171" t="s">
        <v>696</v>
      </c>
      <c r="J273" s="171" t="s">
        <v>697</v>
      </c>
      <c r="K273" s="171" t="s">
        <v>698</v>
      </c>
      <c r="M273" s="8"/>
      <c r="N273" s="263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63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3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185792.72</v>
      </c>
      <c r="G276" s="18">
        <v>88790.88</v>
      </c>
      <c r="H276" s="18">
        <v>899.91</v>
      </c>
      <c r="I276" s="18">
        <v>0</v>
      </c>
      <c r="J276" s="18">
        <v>0</v>
      </c>
      <c r="K276" s="18">
        <v>0</v>
      </c>
      <c r="L276" s="19">
        <f>SUM(F276:K276)</f>
        <v>275483.50999999995</v>
      </c>
      <c r="M276" s="8"/>
      <c r="N276" s="263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61318</v>
      </c>
      <c r="G277" s="18">
        <v>17926.34</v>
      </c>
      <c r="H277" s="18">
        <v>0</v>
      </c>
      <c r="I277" s="18">
        <v>1434.56</v>
      </c>
      <c r="J277" s="18">
        <v>6874.77</v>
      </c>
      <c r="K277" s="18">
        <v>0</v>
      </c>
      <c r="L277" s="19">
        <f>SUM(F277:K277)</f>
        <v>87553.67</v>
      </c>
      <c r="M277" s="8"/>
      <c r="N277" s="263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903.37</v>
      </c>
      <c r="L278" s="19">
        <f>SUM(F278:K278)</f>
        <v>903.37</v>
      </c>
      <c r="M278" s="8"/>
      <c r="N278" s="263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63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3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63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2775</v>
      </c>
      <c r="G282" s="18">
        <v>498.24</v>
      </c>
      <c r="H282" s="18">
        <v>21414.51</v>
      </c>
      <c r="I282" s="18">
        <v>2351.38</v>
      </c>
      <c r="J282" s="18">
        <v>0</v>
      </c>
      <c r="K282" s="18">
        <v>429.41</v>
      </c>
      <c r="L282" s="19">
        <f t="shared" si="12"/>
        <v>27468.54</v>
      </c>
      <c r="M282" s="8"/>
      <c r="N282" s="263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7674</v>
      </c>
      <c r="L283" s="19">
        <f t="shared" si="12"/>
        <v>7674</v>
      </c>
      <c r="M283" s="8"/>
      <c r="N283" s="263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3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3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3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63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63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3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249885.72</v>
      </c>
      <c r="G290" s="42">
        <f t="shared" si="13"/>
        <v>107215.46</v>
      </c>
      <c r="H290" s="42">
        <f t="shared" si="13"/>
        <v>22314.42</v>
      </c>
      <c r="I290" s="42">
        <f t="shared" si="13"/>
        <v>3785.94</v>
      </c>
      <c r="J290" s="42">
        <f t="shared" si="13"/>
        <v>6874.77</v>
      </c>
      <c r="K290" s="42">
        <f t="shared" si="13"/>
        <v>9006.7800000000007</v>
      </c>
      <c r="L290" s="41">
        <f t="shared" si="13"/>
        <v>399083.08999999991</v>
      </c>
      <c r="M290" s="8"/>
      <c r="N290" s="263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63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1" t="s">
        <v>693</v>
      </c>
      <c r="G292" s="171" t="s">
        <v>694</v>
      </c>
      <c r="H292" s="171" t="s">
        <v>695</v>
      </c>
      <c r="I292" s="171" t="s">
        <v>696</v>
      </c>
      <c r="J292" s="171" t="s">
        <v>697</v>
      </c>
      <c r="K292" s="171" t="s">
        <v>698</v>
      </c>
      <c r="L292" s="17"/>
      <c r="M292" s="8"/>
      <c r="N292" s="263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63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3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800</v>
      </c>
      <c r="G295" s="18">
        <v>186.6</v>
      </c>
      <c r="H295" s="18">
        <v>359.96</v>
      </c>
      <c r="I295" s="18">
        <v>0</v>
      </c>
      <c r="J295" s="18">
        <v>0</v>
      </c>
      <c r="K295" s="18">
        <v>0</v>
      </c>
      <c r="L295" s="19">
        <f>SUM(F295:K295)</f>
        <v>1346.56</v>
      </c>
      <c r="M295" s="8"/>
      <c r="N295" s="263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23327.200000000001</v>
      </c>
      <c r="G296" s="18">
        <v>7170.53</v>
      </c>
      <c r="H296" s="18">
        <v>0</v>
      </c>
      <c r="I296" s="18">
        <v>573.82000000000005</v>
      </c>
      <c r="J296" s="18">
        <v>2749.91</v>
      </c>
      <c r="K296" s="18">
        <v>0</v>
      </c>
      <c r="L296" s="19">
        <f>SUM(F296:K296)</f>
        <v>33821.46</v>
      </c>
      <c r="M296" s="8"/>
      <c r="N296" s="263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361.35</v>
      </c>
      <c r="L297" s="19">
        <f>SUM(F297:K297)</f>
        <v>361.35</v>
      </c>
      <c r="M297" s="8"/>
      <c r="N297" s="263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63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3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63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1110</v>
      </c>
      <c r="G301" s="18">
        <v>199.31</v>
      </c>
      <c r="H301" s="18">
        <v>8317.7999999999993</v>
      </c>
      <c r="I301" s="18">
        <v>940.55</v>
      </c>
      <c r="J301" s="18">
        <v>0</v>
      </c>
      <c r="K301" s="18">
        <v>171.76</v>
      </c>
      <c r="L301" s="19">
        <f t="shared" si="14"/>
        <v>10739.419999999998</v>
      </c>
      <c r="M301" s="8"/>
      <c r="N301" s="263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111.41</v>
      </c>
      <c r="L302" s="19">
        <f t="shared" si="14"/>
        <v>111.41</v>
      </c>
      <c r="M302" s="8"/>
      <c r="N302" s="263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3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3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3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63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63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3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25237.200000000001</v>
      </c>
      <c r="G309" s="42">
        <f t="shared" si="15"/>
        <v>7556.4400000000005</v>
      </c>
      <c r="H309" s="42">
        <f t="shared" si="15"/>
        <v>8677.7599999999984</v>
      </c>
      <c r="I309" s="42">
        <f t="shared" si="15"/>
        <v>1514.37</v>
      </c>
      <c r="J309" s="42">
        <f t="shared" si="15"/>
        <v>2749.91</v>
      </c>
      <c r="K309" s="42">
        <f t="shared" si="15"/>
        <v>644.52</v>
      </c>
      <c r="L309" s="41">
        <f t="shared" si="15"/>
        <v>46380.2</v>
      </c>
      <c r="N309" s="261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63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1" t="s">
        <v>693</v>
      </c>
      <c r="G311" s="171" t="s">
        <v>694</v>
      </c>
      <c r="H311" s="171" t="s">
        <v>695</v>
      </c>
      <c r="I311" s="171" t="s">
        <v>696</v>
      </c>
      <c r="J311" s="171" t="s">
        <v>697</v>
      </c>
      <c r="K311" s="171" t="s">
        <v>698</v>
      </c>
      <c r="L311" s="20"/>
      <c r="M311" s="8"/>
      <c r="N311" s="263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63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3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10665.22</v>
      </c>
      <c r="G314" s="18">
        <v>1874.82</v>
      </c>
      <c r="H314" s="18">
        <v>539.94000000000005</v>
      </c>
      <c r="I314" s="18">
        <v>0</v>
      </c>
      <c r="J314" s="18">
        <v>0</v>
      </c>
      <c r="K314" s="18">
        <v>0</v>
      </c>
      <c r="L314" s="19">
        <f>SUM(F314:K314)</f>
        <v>13079.98</v>
      </c>
      <c r="M314" s="8"/>
      <c r="N314" s="263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34990.800000000003</v>
      </c>
      <c r="G315" s="18">
        <v>10755.79</v>
      </c>
      <c r="H315" s="18">
        <v>0</v>
      </c>
      <c r="I315" s="18">
        <v>860.74</v>
      </c>
      <c r="J315" s="18">
        <v>4124.8500000000004</v>
      </c>
      <c r="K315" s="18">
        <v>0</v>
      </c>
      <c r="L315" s="19">
        <f>SUM(F315:K315)</f>
        <v>50732.18</v>
      </c>
      <c r="M315" s="8"/>
      <c r="N315" s="263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1200</v>
      </c>
      <c r="G316" s="18">
        <v>183.8</v>
      </c>
      <c r="H316" s="18">
        <v>19921.75</v>
      </c>
      <c r="I316" s="18">
        <v>2027.41</v>
      </c>
      <c r="J316" s="18">
        <v>47977.59</v>
      </c>
      <c r="K316" s="18">
        <v>2349.4299999999998</v>
      </c>
      <c r="L316" s="19">
        <f>SUM(F316:K316)</f>
        <v>73659.979999999981</v>
      </c>
      <c r="M316" s="8"/>
      <c r="N316" s="263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63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3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63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20915</v>
      </c>
      <c r="G320" s="18">
        <v>4781.29</v>
      </c>
      <c r="H320" s="18">
        <v>12476.69</v>
      </c>
      <c r="I320" s="18">
        <v>3593.14</v>
      </c>
      <c r="J320" s="18">
        <v>0</v>
      </c>
      <c r="K320" s="18">
        <v>257.63</v>
      </c>
      <c r="L320" s="19">
        <f t="shared" si="16"/>
        <v>42023.75</v>
      </c>
      <c r="M320" s="8"/>
      <c r="N320" s="263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1061.92</v>
      </c>
      <c r="L321" s="19">
        <f t="shared" si="16"/>
        <v>1061.92</v>
      </c>
      <c r="M321" s="8"/>
      <c r="N321" s="263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3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3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3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63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63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3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67771.02</v>
      </c>
      <c r="G328" s="42">
        <f t="shared" si="17"/>
        <v>17595.7</v>
      </c>
      <c r="H328" s="42">
        <f t="shared" si="17"/>
        <v>32938.379999999997</v>
      </c>
      <c r="I328" s="42">
        <f t="shared" si="17"/>
        <v>6481.29</v>
      </c>
      <c r="J328" s="42">
        <f t="shared" si="17"/>
        <v>52102.439999999995</v>
      </c>
      <c r="K328" s="42">
        <f t="shared" si="17"/>
        <v>3668.98</v>
      </c>
      <c r="L328" s="41">
        <f t="shared" si="17"/>
        <v>180557.81</v>
      </c>
      <c r="M328" s="8"/>
      <c r="N328" s="263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63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1" t="s">
        <v>693</v>
      </c>
      <c r="G330" s="171" t="s">
        <v>694</v>
      </c>
      <c r="H330" s="171" t="s">
        <v>695</v>
      </c>
      <c r="I330" s="171" t="s">
        <v>696</v>
      </c>
      <c r="J330" s="171" t="s">
        <v>697</v>
      </c>
      <c r="K330" s="171" t="s">
        <v>698</v>
      </c>
      <c r="L330" s="19"/>
      <c r="M330" s="8"/>
      <c r="N330" s="263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63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63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3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3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3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63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63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342893.94</v>
      </c>
      <c r="G338" s="41">
        <f t="shared" si="20"/>
        <v>132367.6</v>
      </c>
      <c r="H338" s="41">
        <f t="shared" si="20"/>
        <v>63930.559999999998</v>
      </c>
      <c r="I338" s="41">
        <f t="shared" si="20"/>
        <v>11781.599999999999</v>
      </c>
      <c r="J338" s="41">
        <f t="shared" si="20"/>
        <v>61727.119999999995</v>
      </c>
      <c r="K338" s="41">
        <f t="shared" si="20"/>
        <v>13320.28</v>
      </c>
      <c r="L338" s="41">
        <f t="shared" si="20"/>
        <v>626021.09999999986</v>
      </c>
      <c r="M338" s="8"/>
      <c r="N338" s="263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3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3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3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63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10301.69</v>
      </c>
      <c r="L344" s="19">
        <f t="shared" ref="L344:L350" si="21">SUM(F344:K344)</f>
        <v>10301.69</v>
      </c>
      <c r="M344" s="8"/>
      <c r="N344" s="263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3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3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63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3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3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63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10301.69</v>
      </c>
      <c r="L351" s="41">
        <f>SUM(L341:L350)</f>
        <v>10301.69</v>
      </c>
      <c r="M351" s="8"/>
      <c r="N351" s="263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342893.94</v>
      </c>
      <c r="G352" s="41">
        <f>G338</f>
        <v>132367.6</v>
      </c>
      <c r="H352" s="41">
        <f>H338</f>
        <v>63930.559999999998</v>
      </c>
      <c r="I352" s="41">
        <f>I338</f>
        <v>11781.599999999999</v>
      </c>
      <c r="J352" s="41">
        <f>J338</f>
        <v>61727.119999999995</v>
      </c>
      <c r="K352" s="47">
        <f>K338+K351</f>
        <v>23621.97</v>
      </c>
      <c r="L352" s="41">
        <f>L338+L351</f>
        <v>636322.7899999998</v>
      </c>
      <c r="M352" s="52"/>
      <c r="N352" s="262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63"/>
    </row>
    <row r="354" spans="1:22" s="3" customFormat="1" ht="12" customHeight="1" x14ac:dyDescent="0.2">
      <c r="A354" s="54"/>
      <c r="B354" s="52"/>
      <c r="C354" s="52"/>
      <c r="D354" s="52"/>
      <c r="E354" s="52"/>
      <c r="F354" s="171" t="s">
        <v>693</v>
      </c>
      <c r="G354" s="171" t="s">
        <v>694</v>
      </c>
      <c r="H354" s="171" t="s">
        <v>695</v>
      </c>
      <c r="I354" s="171" t="s">
        <v>696</v>
      </c>
      <c r="J354" s="171" t="s">
        <v>697</v>
      </c>
      <c r="K354" s="171" t="s">
        <v>698</v>
      </c>
      <c r="L354" s="53"/>
      <c r="M354" s="8"/>
      <c r="N354" s="263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63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3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3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44381.15</v>
      </c>
      <c r="G358" s="18">
        <v>50844.159999999996</v>
      </c>
      <c r="H358" s="18">
        <v>39509.100000000006</v>
      </c>
      <c r="I358" s="18">
        <v>64917.45</v>
      </c>
      <c r="J358" s="18">
        <v>0</v>
      </c>
      <c r="K358" s="18">
        <v>0</v>
      </c>
      <c r="L358" s="13">
        <f>SUM(F358:K358)</f>
        <v>199651.86</v>
      </c>
      <c r="N358" s="26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3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52825.83</v>
      </c>
      <c r="G360" s="18">
        <v>30959.519999999997</v>
      </c>
      <c r="H360" s="18">
        <v>57918.790000000008</v>
      </c>
      <c r="I360" s="18">
        <v>92451.41</v>
      </c>
      <c r="J360" s="18">
        <v>0</v>
      </c>
      <c r="K360" s="18">
        <v>0</v>
      </c>
      <c r="L360" s="19">
        <f>SUM(F360:K360)</f>
        <v>234155.55000000002</v>
      </c>
      <c r="M360" s="8"/>
      <c r="N360" s="263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63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97206.98000000001</v>
      </c>
      <c r="G362" s="47">
        <f t="shared" si="22"/>
        <v>81803.679999999993</v>
      </c>
      <c r="H362" s="47">
        <f t="shared" si="22"/>
        <v>97427.890000000014</v>
      </c>
      <c r="I362" s="47">
        <f t="shared" si="22"/>
        <v>157368.85999999999</v>
      </c>
      <c r="J362" s="47">
        <f t="shared" si="22"/>
        <v>0</v>
      </c>
      <c r="K362" s="47">
        <f t="shared" si="22"/>
        <v>0</v>
      </c>
      <c r="L362" s="47">
        <f t="shared" si="22"/>
        <v>433807.41000000003</v>
      </c>
      <c r="M362" s="8"/>
      <c r="N362" s="263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3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3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3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3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58269.549999999996</v>
      </c>
      <c r="G367" s="18">
        <v>0</v>
      </c>
      <c r="H367" s="18">
        <v>80756.11</v>
      </c>
      <c r="I367" s="56">
        <f>SUM(F367:H367)</f>
        <v>139025.66</v>
      </c>
      <c r="J367" s="24" t="s">
        <v>289</v>
      </c>
      <c r="K367" s="24" t="s">
        <v>289</v>
      </c>
      <c r="L367" s="24" t="s">
        <v>289</v>
      </c>
      <c r="M367" s="8"/>
      <c r="N367" s="263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v>6647.9000000000015</v>
      </c>
      <c r="G368" s="18">
        <v>0</v>
      </c>
      <c r="H368" s="18">
        <v>11695.300000000003</v>
      </c>
      <c r="I368" s="56">
        <f>SUM(F368:H368)</f>
        <v>18343.200000000004</v>
      </c>
      <c r="J368" s="24" t="s">
        <v>289</v>
      </c>
      <c r="K368" s="24" t="s">
        <v>289</v>
      </c>
      <c r="L368" s="24" t="s">
        <v>289</v>
      </c>
      <c r="M368" s="8"/>
      <c r="N368" s="263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64917.45</v>
      </c>
      <c r="G369" s="47">
        <f>SUM(G367:G368)</f>
        <v>0</v>
      </c>
      <c r="H369" s="47">
        <f>SUM(H367:H368)</f>
        <v>92451.41</v>
      </c>
      <c r="I369" s="47">
        <f>SUM(I367:I368)</f>
        <v>157368.86000000002</v>
      </c>
      <c r="J369" s="24" t="s">
        <v>289</v>
      </c>
      <c r="K369" s="24" t="s">
        <v>289</v>
      </c>
      <c r="L369" s="24" t="s">
        <v>289</v>
      </c>
      <c r="M369" s="8"/>
      <c r="N369" s="263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63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1" t="s">
        <v>693</v>
      </c>
      <c r="G371" s="171" t="s">
        <v>694</v>
      </c>
      <c r="H371" s="171" t="s">
        <v>695</v>
      </c>
      <c r="I371" s="171" t="s">
        <v>696</v>
      </c>
      <c r="J371" s="171" t="s">
        <v>697</v>
      </c>
      <c r="K371" s="171" t="s">
        <v>698</v>
      </c>
      <c r="L371" s="13"/>
      <c r="M371" s="8"/>
      <c r="N371" s="263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63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3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63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63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3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3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3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77912.62</v>
      </c>
      <c r="K379" s="18">
        <v>0</v>
      </c>
      <c r="L379" s="13">
        <f t="shared" si="23"/>
        <v>77912.62</v>
      </c>
      <c r="M379" s="8"/>
      <c r="N379" s="263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63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63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77912.62</v>
      </c>
      <c r="K382" s="47">
        <f t="shared" si="24"/>
        <v>0</v>
      </c>
      <c r="L382" s="47">
        <f t="shared" si="24"/>
        <v>77912.62</v>
      </c>
      <c r="M382" s="8"/>
      <c r="N382" s="263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63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63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3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63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63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3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63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3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63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63"/>
    </row>
    <row r="393" spans="1:14" s="3" customFormat="1" ht="12" customHeight="1" thickTop="1" x14ac:dyDescent="0.15">
      <c r="A393" s="155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0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63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3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63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50000</v>
      </c>
      <c r="H396" s="18">
        <v>445.96</v>
      </c>
      <c r="I396" s="18">
        <v>0</v>
      </c>
      <c r="J396" s="24" t="s">
        <v>289</v>
      </c>
      <c r="K396" s="24" t="s">
        <v>289</v>
      </c>
      <c r="L396" s="56">
        <f t="shared" si="26"/>
        <v>50445.96</v>
      </c>
      <c r="M396" s="8"/>
      <c r="N396" s="263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10000</v>
      </c>
      <c r="H397" s="18">
        <v>397.79</v>
      </c>
      <c r="I397" s="18">
        <v>0</v>
      </c>
      <c r="J397" s="24" t="s">
        <v>289</v>
      </c>
      <c r="K397" s="24" t="s">
        <v>289</v>
      </c>
      <c r="L397" s="56">
        <f t="shared" si="26"/>
        <v>10397.790000000001</v>
      </c>
      <c r="M397" s="8"/>
      <c r="N397" s="263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63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63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30000</v>
      </c>
      <c r="H400" s="18">
        <v>1213.74</v>
      </c>
      <c r="I400" s="18">
        <v>12482</v>
      </c>
      <c r="J400" s="24" t="s">
        <v>289</v>
      </c>
      <c r="K400" s="24" t="s">
        <v>289</v>
      </c>
      <c r="L400" s="56">
        <f t="shared" si="26"/>
        <v>43695.740000000005</v>
      </c>
      <c r="M400" s="8"/>
      <c r="N400" s="263"/>
    </row>
    <row r="401" spans="1:21" s="3" customFormat="1" ht="12" customHeight="1" thickTop="1" x14ac:dyDescent="0.15">
      <c r="A401" s="155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90000</v>
      </c>
      <c r="H401" s="47">
        <f>SUM(H395:H400)</f>
        <v>2057.4899999999998</v>
      </c>
      <c r="I401" s="47">
        <f>SUM(I395:I400)</f>
        <v>12482</v>
      </c>
      <c r="J401" s="45" t="s">
        <v>289</v>
      </c>
      <c r="K401" s="45" t="s">
        <v>289</v>
      </c>
      <c r="L401" s="47">
        <f>SUM(L395:L400)</f>
        <v>104539.49</v>
      </c>
      <c r="M401" s="8"/>
      <c r="N401" s="263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3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63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63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63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63"/>
    </row>
    <row r="407" spans="1:21" s="3" customFormat="1" ht="12" customHeight="1" thickTop="1" thickBot="1" x14ac:dyDescent="0.2">
      <c r="A407" s="155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63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90000</v>
      </c>
      <c r="H408" s="47">
        <f>H393+H401+H407</f>
        <v>2057.4899999999998</v>
      </c>
      <c r="I408" s="47">
        <f>I393+I401+I407</f>
        <v>12482</v>
      </c>
      <c r="J408" s="24" t="s">
        <v>289</v>
      </c>
      <c r="K408" s="24" t="s">
        <v>289</v>
      </c>
      <c r="L408" s="47">
        <f>L393+L401+L407</f>
        <v>104539.49</v>
      </c>
      <c r="M408" s="8"/>
      <c r="N408" s="263"/>
    </row>
    <row r="409" spans="1:21" s="3" customFormat="1" ht="12" customHeight="1" x14ac:dyDescent="0.15">
      <c r="A409" s="77"/>
      <c r="B409" s="2"/>
      <c r="C409" s="6"/>
      <c r="D409" s="6"/>
      <c r="E409" s="6"/>
      <c r="F409" s="171" t="s">
        <v>693</v>
      </c>
      <c r="G409" s="171" t="s">
        <v>694</v>
      </c>
      <c r="H409" s="171" t="s">
        <v>695</v>
      </c>
      <c r="I409" s="171" t="s">
        <v>696</v>
      </c>
      <c r="J409" s="171" t="s">
        <v>697</v>
      </c>
      <c r="K409" s="171" t="s">
        <v>698</v>
      </c>
      <c r="L409" s="56"/>
      <c r="M409" s="8"/>
      <c r="N409" s="263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63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63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3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63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2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0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3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3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63"/>
    </row>
    <row r="419" spans="1:21" s="3" customFormat="1" ht="12" customHeight="1" thickTop="1" x14ac:dyDescent="0.15">
      <c r="A419" s="155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63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3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63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3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3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3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3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63"/>
    </row>
    <row r="427" spans="1:21" s="3" customFormat="1" ht="12" customHeight="1" thickTop="1" x14ac:dyDescent="0.15">
      <c r="A427" s="155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63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0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0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0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1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63"/>
    </row>
    <row r="433" spans="1:14" s="3" customFormat="1" ht="12" customHeight="1" thickTop="1" thickBot="1" x14ac:dyDescent="0.2">
      <c r="A433" s="155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63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63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3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3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3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3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63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796482.53</v>
      </c>
      <c r="G440" s="18">
        <v>0</v>
      </c>
      <c r="H440" s="18">
        <v>0</v>
      </c>
      <c r="I440" s="56">
        <f t="shared" si="33"/>
        <v>796482.53</v>
      </c>
      <c r="J440" s="24" t="s">
        <v>289</v>
      </c>
      <c r="K440" s="24" t="s">
        <v>289</v>
      </c>
      <c r="L440" s="24" t="s">
        <v>289</v>
      </c>
      <c r="M440" s="8"/>
      <c r="N440" s="263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3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3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3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3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63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796482.53</v>
      </c>
      <c r="G446" s="13">
        <f>SUM(G439:G445)</f>
        <v>0</v>
      </c>
      <c r="H446" s="13">
        <f>SUM(H439:H445)</f>
        <v>0</v>
      </c>
      <c r="I446" s="13">
        <f>SUM(I439:I445)</f>
        <v>796482.53</v>
      </c>
      <c r="J446" s="24" t="s">
        <v>289</v>
      </c>
      <c r="K446" s="24" t="s">
        <v>289</v>
      </c>
      <c r="L446" s="24" t="s">
        <v>289</v>
      </c>
      <c r="M446" s="8"/>
      <c r="N446" s="263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3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3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3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3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3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63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3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63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63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63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7"/>
      <c r="N457" s="220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796482.53</v>
      </c>
      <c r="G459" s="18">
        <v>0</v>
      </c>
      <c r="H459" s="18">
        <v>0</v>
      </c>
      <c r="I459" s="56">
        <f t="shared" si="34"/>
        <v>796482.53</v>
      </c>
      <c r="J459" s="24" t="s">
        <v>289</v>
      </c>
      <c r="K459" s="24" t="s">
        <v>289</v>
      </c>
      <c r="L459" s="24" t="s">
        <v>289</v>
      </c>
      <c r="M459" s="52"/>
      <c r="N459" s="262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796482.53</v>
      </c>
      <c r="G460" s="82">
        <f>SUM(G454:G459)</f>
        <v>0</v>
      </c>
      <c r="H460" s="82">
        <f>SUM(H454:H459)</f>
        <v>0</v>
      </c>
      <c r="I460" s="82">
        <f>SUM(I454:I459)</f>
        <v>796482.53</v>
      </c>
      <c r="J460" s="24" t="s">
        <v>289</v>
      </c>
      <c r="K460" s="24" t="s">
        <v>289</v>
      </c>
      <c r="L460" s="24" t="s">
        <v>289</v>
      </c>
      <c r="N460" s="262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2" t="s">
        <v>433</v>
      </c>
      <c r="E461" s="81"/>
      <c r="F461" s="42">
        <f>F452+F460</f>
        <v>796482.53</v>
      </c>
      <c r="G461" s="42">
        <f>G452+G460</f>
        <v>0</v>
      </c>
      <c r="H461" s="42">
        <f>H452+H460</f>
        <v>0</v>
      </c>
      <c r="I461" s="42">
        <f>I452+I460</f>
        <v>796482.53</v>
      </c>
      <c r="J461" s="24" t="s">
        <v>289</v>
      </c>
      <c r="K461" s="24" t="s">
        <v>289</v>
      </c>
      <c r="L461" s="24" t="s">
        <v>289</v>
      </c>
      <c r="N461" s="262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2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2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2"/>
    </row>
    <row r="465" spans="1:14" s="52" customFormat="1" ht="12" customHeight="1" x14ac:dyDescent="0.2">
      <c r="A465" s="183" t="s">
        <v>907</v>
      </c>
      <c r="B465" s="104">
        <v>19</v>
      </c>
      <c r="C465" s="110">
        <v>1</v>
      </c>
      <c r="D465" s="2" t="s">
        <v>433</v>
      </c>
      <c r="E465" s="110"/>
      <c r="F465" s="18">
        <v>1248402.8299999998</v>
      </c>
      <c r="G465" s="18">
        <v>608.47000000000025</v>
      </c>
      <c r="H465" s="18">
        <v>0</v>
      </c>
      <c r="I465" s="18">
        <v>20326.12</v>
      </c>
      <c r="J465" s="18">
        <v>691943.04</v>
      </c>
      <c r="K465" s="24" t="s">
        <v>289</v>
      </c>
      <c r="L465" s="24" t="s">
        <v>289</v>
      </c>
      <c r="N465" s="262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2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2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v>14778786.77</v>
      </c>
      <c r="G468" s="18">
        <v>433198.94</v>
      </c>
      <c r="H468" s="18">
        <v>636322.79</v>
      </c>
      <c r="I468" s="18">
        <v>57586.5</v>
      </c>
      <c r="J468" s="18">
        <f>90000+12482+2057.49</f>
        <v>104539.49</v>
      </c>
      <c r="K468" s="24" t="s">
        <v>289</v>
      </c>
      <c r="L468" s="24" t="s">
        <v>289</v>
      </c>
      <c r="N468" s="262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62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14778786.77</v>
      </c>
      <c r="G470" s="53">
        <f>SUM(G468:G469)</f>
        <v>433198.94</v>
      </c>
      <c r="H470" s="53">
        <f>SUM(H468:H469)</f>
        <v>636322.79</v>
      </c>
      <c r="I470" s="53">
        <f>SUM(I468:I469)</f>
        <v>57586.5</v>
      </c>
      <c r="J470" s="53">
        <f>SUM(J468:J469)</f>
        <v>104539.49</v>
      </c>
      <c r="K470" s="24" t="s">
        <v>289</v>
      </c>
      <c r="L470" s="24" t="s">
        <v>289</v>
      </c>
      <c r="N470" s="262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2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f>14951556.58-80000+90000</f>
        <v>14961556.58</v>
      </c>
      <c r="G472" s="18">
        <v>433807.41000000003</v>
      </c>
      <c r="H472" s="18">
        <v>636322.7899999998</v>
      </c>
      <c r="I472" s="18">
        <v>77912.62</v>
      </c>
      <c r="J472" s="18">
        <v>0</v>
      </c>
      <c r="K472" s="24" t="s">
        <v>289</v>
      </c>
      <c r="L472" s="24" t="s">
        <v>289</v>
      </c>
      <c r="N472" s="262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>
        <v>0</v>
      </c>
      <c r="G473" s="18">
        <v>0</v>
      </c>
      <c r="H473" s="18">
        <v>0</v>
      </c>
      <c r="I473" s="18">
        <v>0</v>
      </c>
      <c r="J473" s="18"/>
      <c r="K473" s="24" t="s">
        <v>289</v>
      </c>
      <c r="L473" s="24" t="s">
        <v>289</v>
      </c>
      <c r="N473" s="262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14961556.58</v>
      </c>
      <c r="G474" s="53">
        <f>SUM(G472:G473)</f>
        <v>433807.41000000003</v>
      </c>
      <c r="H474" s="53">
        <f>SUM(H472:H473)</f>
        <v>636322.7899999998</v>
      </c>
      <c r="I474" s="53">
        <f>SUM(I472:I473)</f>
        <v>77912.62</v>
      </c>
      <c r="J474" s="53">
        <f>SUM(J472:J473)</f>
        <v>0</v>
      </c>
      <c r="K474" s="24" t="s">
        <v>289</v>
      </c>
      <c r="L474" s="24" t="s">
        <v>289</v>
      </c>
      <c r="N474" s="262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2"/>
    </row>
    <row r="476" spans="1:14" s="52" customFormat="1" ht="12" customHeight="1" x14ac:dyDescent="0.2">
      <c r="A476" s="184" t="s">
        <v>908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1065633.0199999996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796482.53</v>
      </c>
      <c r="K476" s="24" t="s">
        <v>289</v>
      </c>
      <c r="L476" s="24" t="s">
        <v>289</v>
      </c>
      <c r="N476" s="262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2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2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2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62"/>
    </row>
    <row r="481" spans="1:14" s="52" customFormat="1" ht="12" customHeight="1" x14ac:dyDescent="0.2">
      <c r="A481" s="170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62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62"/>
    </row>
    <row r="483" spans="1:14" s="52" customFormat="1" ht="12" customHeight="1" x14ac:dyDescent="0.2">
      <c r="A483" s="169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2"/>
    </row>
    <row r="484" spans="1:14" s="52" customFormat="1" ht="12" customHeight="1" x14ac:dyDescent="0.2">
      <c r="A484" s="169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62"/>
    </row>
    <row r="485" spans="1:14" s="52" customFormat="1" ht="12" customHeight="1" x14ac:dyDescent="0.2">
      <c r="A485" s="169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62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2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2"/>
    </row>
    <row r="488" spans="1:14" s="52" customFormat="1" ht="12" customHeight="1" x14ac:dyDescent="0.2">
      <c r="A488" s="144" t="s">
        <v>909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62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62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8">
        <v>20</v>
      </c>
      <c r="G490" s="18">
        <v>17</v>
      </c>
      <c r="H490" s="18">
        <v>0</v>
      </c>
      <c r="I490" s="18">
        <v>0</v>
      </c>
      <c r="J490" s="18">
        <v>0</v>
      </c>
      <c r="K490" s="24" t="s">
        <v>289</v>
      </c>
      <c r="L490" s="24" t="s">
        <v>289</v>
      </c>
      <c r="N490" s="262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8" t="s">
        <v>912</v>
      </c>
      <c r="G491" s="18" t="s">
        <v>913</v>
      </c>
      <c r="H491" s="18">
        <v>0</v>
      </c>
      <c r="I491" s="18">
        <v>0</v>
      </c>
      <c r="J491" s="18">
        <v>0</v>
      </c>
      <c r="K491" s="24" t="s">
        <v>289</v>
      </c>
      <c r="L491" s="24" t="s">
        <v>289</v>
      </c>
      <c r="N491" s="262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8" t="s">
        <v>914</v>
      </c>
      <c r="G492" s="18" t="s">
        <v>915</v>
      </c>
      <c r="H492" s="18">
        <v>0</v>
      </c>
      <c r="I492" s="18">
        <v>0</v>
      </c>
      <c r="J492" s="18">
        <v>0</v>
      </c>
      <c r="K492" s="24" t="s">
        <v>289</v>
      </c>
      <c r="L492" s="24" t="s">
        <v>289</v>
      </c>
      <c r="N492" s="262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6000000</v>
      </c>
      <c r="G493" s="18">
        <v>4160640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62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>
        <v>3.9</v>
      </c>
      <c r="G494" s="18">
        <v>5.39</v>
      </c>
      <c r="H494" s="18" t="s">
        <v>916</v>
      </c>
      <c r="I494" s="18">
        <v>0</v>
      </c>
      <c r="J494" s="18">
        <v>0</v>
      </c>
      <c r="K494" s="24" t="s">
        <v>289</v>
      </c>
      <c r="L494" s="24" t="s">
        <v>289</v>
      </c>
      <c r="N494" s="262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2400000</v>
      </c>
      <c r="G495" s="18">
        <v>3120000</v>
      </c>
      <c r="H495" s="18">
        <v>0</v>
      </c>
      <c r="I495" s="18">
        <v>0</v>
      </c>
      <c r="J495" s="18">
        <v>0</v>
      </c>
      <c r="K495" s="53">
        <f>SUM(F495:J495)</f>
        <v>5520000</v>
      </c>
      <c r="L495" s="24" t="s">
        <v>289</v>
      </c>
      <c r="N495" s="262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0</v>
      </c>
      <c r="L496" s="24" t="s">
        <v>289</v>
      </c>
      <c r="N496" s="262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300000</v>
      </c>
      <c r="G497" s="18">
        <v>260000</v>
      </c>
      <c r="H497" s="18">
        <v>0</v>
      </c>
      <c r="I497" s="18">
        <v>0</v>
      </c>
      <c r="J497" s="18">
        <v>0</v>
      </c>
      <c r="K497" s="53">
        <f t="shared" si="35"/>
        <v>560000</v>
      </c>
      <c r="L497" s="24" t="s">
        <v>289</v>
      </c>
      <c r="N497" s="262"/>
    </row>
    <row r="498" spans="1:14" s="52" customFormat="1" ht="12" customHeight="1" x14ac:dyDescent="0.2">
      <c r="A498" s="194" t="s">
        <v>626</v>
      </c>
      <c r="B498" s="195">
        <v>20</v>
      </c>
      <c r="C498" s="196">
        <v>9</v>
      </c>
      <c r="D498" s="197" t="s">
        <v>433</v>
      </c>
      <c r="E498" s="196"/>
      <c r="F498" s="18">
        <v>2100000</v>
      </c>
      <c r="G498" s="18">
        <v>2860000</v>
      </c>
      <c r="H498" s="18">
        <v>0</v>
      </c>
      <c r="I498" s="18">
        <v>0</v>
      </c>
      <c r="J498" s="18">
        <v>0</v>
      </c>
      <c r="K498" s="198">
        <f t="shared" si="35"/>
        <v>4960000</v>
      </c>
      <c r="L498" s="199" t="s">
        <v>289</v>
      </c>
      <c r="N498" s="262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230019</v>
      </c>
      <c r="G499" s="18">
        <v>847847</v>
      </c>
      <c r="H499" s="18">
        <v>0</v>
      </c>
      <c r="I499" s="18">
        <v>0</v>
      </c>
      <c r="J499" s="18">
        <v>0</v>
      </c>
      <c r="K499" s="53">
        <f t="shared" si="35"/>
        <v>1077866</v>
      </c>
      <c r="L499" s="24" t="s">
        <v>289</v>
      </c>
      <c r="N499" s="262"/>
    </row>
    <row r="500" spans="1:14" s="52" customFormat="1" ht="12" customHeight="1" thickTop="1" x14ac:dyDescent="0.2">
      <c r="A500" s="138" t="s">
        <v>628</v>
      </c>
      <c r="B500" s="44">
        <v>20</v>
      </c>
      <c r="C500" s="189">
        <v>11</v>
      </c>
      <c r="D500" s="39" t="s">
        <v>433</v>
      </c>
      <c r="E500" s="189"/>
      <c r="F500" s="42">
        <f>SUM(F498:F499)</f>
        <v>2330019</v>
      </c>
      <c r="G500" s="42">
        <f>SUM(G498:G499)</f>
        <v>3707847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6037866</v>
      </c>
      <c r="L500" s="45" t="s">
        <v>289</v>
      </c>
      <c r="N500" s="262"/>
    </row>
    <row r="501" spans="1:14" s="52" customFormat="1" ht="12" customHeight="1" x14ac:dyDescent="0.2">
      <c r="A501" s="194" t="s">
        <v>655</v>
      </c>
      <c r="B501" s="195">
        <v>20</v>
      </c>
      <c r="C501" s="196">
        <v>12</v>
      </c>
      <c r="D501" s="197" t="s">
        <v>433</v>
      </c>
      <c r="E501" s="196"/>
      <c r="F501" s="18">
        <v>300000</v>
      </c>
      <c r="G501" s="18">
        <v>260000</v>
      </c>
      <c r="H501" s="18">
        <v>0</v>
      </c>
      <c r="I501" s="18">
        <v>0</v>
      </c>
      <c r="J501" s="18">
        <v>0</v>
      </c>
      <c r="K501" s="198">
        <f t="shared" si="35"/>
        <v>560000</v>
      </c>
      <c r="L501" s="199" t="s">
        <v>289</v>
      </c>
      <c r="N501" s="262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78972</v>
      </c>
      <c r="G502" s="18">
        <v>147147</v>
      </c>
      <c r="H502" s="18">
        <v>0</v>
      </c>
      <c r="I502" s="18">
        <v>0</v>
      </c>
      <c r="J502" s="18">
        <v>0</v>
      </c>
      <c r="K502" s="53">
        <f t="shared" si="35"/>
        <v>226119</v>
      </c>
      <c r="L502" s="24" t="s">
        <v>289</v>
      </c>
      <c r="N502" s="262"/>
    </row>
    <row r="503" spans="1:14" s="52" customFormat="1" ht="12" customHeight="1" thickTop="1" x14ac:dyDescent="0.2">
      <c r="A503" s="138" t="s">
        <v>630</v>
      </c>
      <c r="B503" s="44">
        <v>20</v>
      </c>
      <c r="C503" s="189">
        <v>14</v>
      </c>
      <c r="D503" s="39" t="s">
        <v>433</v>
      </c>
      <c r="E503" s="189"/>
      <c r="F503" s="42">
        <f>SUM(F501:F502)</f>
        <v>378972</v>
      </c>
      <c r="G503" s="42">
        <f>SUM(G501:G502)</f>
        <v>407147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786119</v>
      </c>
      <c r="L503" s="45" t="s">
        <v>289</v>
      </c>
      <c r="N503" s="262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2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2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62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8"/>
      <c r="G507" s="18"/>
      <c r="H507" s="18"/>
      <c r="I507" s="18"/>
      <c r="J507" s="24" t="s">
        <v>289</v>
      </c>
      <c r="K507" s="24" t="s">
        <v>289</v>
      </c>
      <c r="L507" s="24" t="s">
        <v>289</v>
      </c>
      <c r="N507" s="262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2"/>
    </row>
    <row r="509" spans="1:14" s="52" customFormat="1" ht="12" customHeight="1" x14ac:dyDescent="0.2">
      <c r="A509" s="144" t="s">
        <v>910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2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2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62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62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62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62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62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62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2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1" t="s">
        <v>693</v>
      </c>
      <c r="G518" s="171" t="s">
        <v>694</v>
      </c>
      <c r="H518" s="171" t="s">
        <v>695</v>
      </c>
      <c r="I518" s="171" t="s">
        <v>696</v>
      </c>
      <c r="J518" s="171" t="s">
        <v>697</v>
      </c>
      <c r="K518" s="171" t="s">
        <v>698</v>
      </c>
      <c r="L518" s="105"/>
      <c r="N518" s="262"/>
    </row>
    <row r="519" spans="1:14" s="52" customFormat="1" ht="12" customHeight="1" x14ac:dyDescent="0.2">
      <c r="A519" s="172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2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2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756727.23999999987</v>
      </c>
      <c r="G521" s="18">
        <v>475614.28</v>
      </c>
      <c r="H521" s="18">
        <v>55443.15</v>
      </c>
      <c r="I521" s="18">
        <v>4292.9800000000005</v>
      </c>
      <c r="J521" s="18">
        <v>773.38</v>
      </c>
      <c r="K521" s="18">
        <v>717.67</v>
      </c>
      <c r="L521" s="87">
        <f>SUM(F521:K521)</f>
        <v>1293568.6999999997</v>
      </c>
      <c r="N521" s="262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180028.00999999998</v>
      </c>
      <c r="G522" s="18">
        <v>74359.800000000017</v>
      </c>
      <c r="H522" s="18">
        <v>50767.020000000004</v>
      </c>
      <c r="I522" s="18">
        <v>3729.8300000000004</v>
      </c>
      <c r="J522" s="18">
        <v>67.39</v>
      </c>
      <c r="K522" s="18">
        <v>125</v>
      </c>
      <c r="L522" s="87">
        <f>SUM(F522:K522)</f>
        <v>309077.05000000005</v>
      </c>
      <c r="N522" s="262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432865.57999999996</v>
      </c>
      <c r="G523" s="18">
        <v>208771.55999999997</v>
      </c>
      <c r="H523" s="18">
        <v>10453.66</v>
      </c>
      <c r="I523" s="18">
        <v>7421.04</v>
      </c>
      <c r="J523" s="18">
        <v>387.87</v>
      </c>
      <c r="K523" s="18">
        <v>1397.81</v>
      </c>
      <c r="L523" s="87">
        <f>SUM(F523:K523)</f>
        <v>661297.52</v>
      </c>
      <c r="N523" s="262"/>
    </row>
    <row r="524" spans="1:14" s="52" customFormat="1" ht="12" customHeight="1" thickTop="1" x14ac:dyDescent="0.2">
      <c r="A524" s="138" t="s">
        <v>63</v>
      </c>
      <c r="B524" s="106">
        <v>21</v>
      </c>
      <c r="C524" s="189">
        <v>4</v>
      </c>
      <c r="D524" s="190" t="s">
        <v>433</v>
      </c>
      <c r="E524" s="189"/>
      <c r="F524" s="107">
        <f>SUM(F521:F523)</f>
        <v>1369620.8299999998</v>
      </c>
      <c r="G524" s="107">
        <f t="shared" ref="G524:L524" si="36">SUM(G521:G523)</f>
        <v>758745.64</v>
      </c>
      <c r="H524" s="107">
        <f t="shared" si="36"/>
        <v>116663.83000000002</v>
      </c>
      <c r="I524" s="107">
        <f t="shared" si="36"/>
        <v>15443.850000000002</v>
      </c>
      <c r="J524" s="107">
        <f t="shared" si="36"/>
        <v>1228.6399999999999</v>
      </c>
      <c r="K524" s="107">
        <f t="shared" si="36"/>
        <v>2240.48</v>
      </c>
      <c r="L524" s="88">
        <f t="shared" si="36"/>
        <v>2263943.2699999996</v>
      </c>
      <c r="N524" s="262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2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183397.7</v>
      </c>
      <c r="G526" s="18">
        <v>63265.66</v>
      </c>
      <c r="H526" s="18">
        <v>17506.93</v>
      </c>
      <c r="I526" s="18">
        <v>5029.99</v>
      </c>
      <c r="J526" s="18">
        <v>616.02</v>
      </c>
      <c r="K526" s="18">
        <v>1685.4</v>
      </c>
      <c r="L526" s="87">
        <f>SUM(F526:K526)</f>
        <v>271501.70000000007</v>
      </c>
      <c r="M526" s="8"/>
      <c r="N526" s="263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40033.090000000004</v>
      </c>
      <c r="G527" s="18">
        <v>17792.04</v>
      </c>
      <c r="H527" s="18">
        <v>15946.93</v>
      </c>
      <c r="I527" s="18">
        <v>0</v>
      </c>
      <c r="J527" s="18">
        <v>0</v>
      </c>
      <c r="K527" s="18">
        <v>200</v>
      </c>
      <c r="L527" s="87">
        <f>SUM(F527:K527)</f>
        <v>73972.06</v>
      </c>
      <c r="M527" s="8"/>
      <c r="N527" s="263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60049.65</v>
      </c>
      <c r="G528" s="18">
        <v>26701.599999999999</v>
      </c>
      <c r="H528" s="18">
        <v>10886.14</v>
      </c>
      <c r="I528" s="18">
        <v>0</v>
      </c>
      <c r="J528" s="18">
        <v>0</v>
      </c>
      <c r="K528" s="18">
        <v>150</v>
      </c>
      <c r="L528" s="87">
        <f>SUM(F528:K528)</f>
        <v>97787.39</v>
      </c>
      <c r="M528" s="8"/>
      <c r="N528" s="263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3" t="s">
        <v>433</v>
      </c>
      <c r="E529" s="106"/>
      <c r="F529" s="88">
        <f>SUM(F526:F528)</f>
        <v>283480.44</v>
      </c>
      <c r="G529" s="88">
        <f t="shared" ref="G529:L529" si="37">SUM(G526:G528)</f>
        <v>107759.30000000002</v>
      </c>
      <c r="H529" s="88">
        <f t="shared" si="37"/>
        <v>44340</v>
      </c>
      <c r="I529" s="88">
        <f t="shared" si="37"/>
        <v>5029.99</v>
      </c>
      <c r="J529" s="88">
        <f t="shared" si="37"/>
        <v>616.02</v>
      </c>
      <c r="K529" s="88">
        <f t="shared" si="37"/>
        <v>2035.4</v>
      </c>
      <c r="L529" s="88">
        <f t="shared" si="37"/>
        <v>443261.15000000008</v>
      </c>
      <c r="M529" s="8"/>
      <c r="N529" s="263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3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39300.049999999996</v>
      </c>
      <c r="G531" s="18">
        <v>26053.74</v>
      </c>
      <c r="H531" s="18">
        <v>0</v>
      </c>
      <c r="I531" s="18">
        <v>0</v>
      </c>
      <c r="J531" s="18">
        <v>0</v>
      </c>
      <c r="K531" s="18">
        <v>0</v>
      </c>
      <c r="L531" s="87">
        <f>SUM(F531:K531)</f>
        <v>65353.789999999994</v>
      </c>
      <c r="M531" s="8"/>
      <c r="N531" s="263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26199.95</v>
      </c>
      <c r="G532" s="18">
        <v>12664.94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38864.89</v>
      </c>
      <c r="M532" s="8"/>
      <c r="N532" s="263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7">
        <f>SUM(F533:K533)</f>
        <v>0</v>
      </c>
      <c r="M533" s="8"/>
      <c r="N533" s="263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3" t="s">
        <v>433</v>
      </c>
      <c r="E534" s="106"/>
      <c r="F534" s="88">
        <f>SUM(F531:F533)</f>
        <v>65500</v>
      </c>
      <c r="G534" s="88">
        <f t="shared" ref="G534:L534" si="38">SUM(G531:G533)</f>
        <v>38718.68</v>
      </c>
      <c r="H534" s="88">
        <f t="shared" si="38"/>
        <v>0</v>
      </c>
      <c r="I534" s="88">
        <f t="shared" si="38"/>
        <v>0</v>
      </c>
      <c r="J534" s="88">
        <f t="shared" si="38"/>
        <v>0</v>
      </c>
      <c r="K534" s="88">
        <f t="shared" si="38"/>
        <v>0</v>
      </c>
      <c r="L534" s="88">
        <f t="shared" si="38"/>
        <v>104218.68</v>
      </c>
      <c r="M534" s="8"/>
      <c r="N534" s="263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88" t="s">
        <v>289</v>
      </c>
      <c r="G535" s="188" t="s">
        <v>289</v>
      </c>
      <c r="H535" s="188" t="s">
        <v>289</v>
      </c>
      <c r="I535" s="188" t="s">
        <v>289</v>
      </c>
      <c r="J535" s="188" t="s">
        <v>289</v>
      </c>
      <c r="K535" s="188" t="s">
        <v>289</v>
      </c>
      <c r="L535" s="188" t="s">
        <v>289</v>
      </c>
      <c r="M535" s="8"/>
      <c r="N535" s="263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  <c r="N536" s="263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63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7">
        <f>SUM(F538:K538)</f>
        <v>0</v>
      </c>
      <c r="M538" s="8"/>
      <c r="N538" s="263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3" t="s">
        <v>433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0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0</v>
      </c>
      <c r="M539" s="8"/>
      <c r="N539" s="263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3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>
        <v>22273.200000000001</v>
      </c>
      <c r="G541" s="18">
        <v>15117.84</v>
      </c>
      <c r="H541" s="18">
        <v>13044.470000000001</v>
      </c>
      <c r="I541" s="18">
        <v>3614.46</v>
      </c>
      <c r="J541" s="18">
        <v>0</v>
      </c>
      <c r="K541" s="18">
        <v>0</v>
      </c>
      <c r="L541" s="87">
        <f>SUM(F541:K541)</f>
        <v>54049.97</v>
      </c>
      <c r="M541" s="8"/>
      <c r="N541" s="263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>
        <v>0</v>
      </c>
      <c r="G542" s="18">
        <v>0</v>
      </c>
      <c r="H542" s="18">
        <v>2902.03</v>
      </c>
      <c r="I542" s="18">
        <v>0</v>
      </c>
      <c r="J542" s="18">
        <v>0</v>
      </c>
      <c r="K542" s="18">
        <v>0</v>
      </c>
      <c r="L542" s="87">
        <f>SUM(F542:K542)</f>
        <v>2902.03</v>
      </c>
      <c r="M542" s="8"/>
      <c r="N542" s="263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>
        <v>0</v>
      </c>
      <c r="G543" s="18">
        <v>0</v>
      </c>
      <c r="H543" s="18">
        <v>4353.03</v>
      </c>
      <c r="I543" s="18">
        <v>0</v>
      </c>
      <c r="J543" s="18">
        <v>0</v>
      </c>
      <c r="K543" s="18">
        <v>0</v>
      </c>
      <c r="L543" s="87">
        <f>SUM(F543:K543)</f>
        <v>4353.03</v>
      </c>
      <c r="M543" s="8"/>
      <c r="N543" s="263"/>
    </row>
    <row r="544" spans="1:14" s="3" customFormat="1" ht="12" customHeight="1" thickTop="1" thickBot="1" x14ac:dyDescent="0.2">
      <c r="A544" s="129" t="s">
        <v>71</v>
      </c>
      <c r="B544" s="185">
        <v>21</v>
      </c>
      <c r="C544" s="185">
        <v>20</v>
      </c>
      <c r="D544" s="186" t="s">
        <v>433</v>
      </c>
      <c r="E544" s="185"/>
      <c r="F544" s="187">
        <f>SUM(F541:F543)</f>
        <v>22273.200000000001</v>
      </c>
      <c r="G544" s="187">
        <f t="shared" ref="G544:L544" si="40">SUM(G541:G543)</f>
        <v>15117.84</v>
      </c>
      <c r="H544" s="187">
        <f t="shared" si="40"/>
        <v>20299.530000000002</v>
      </c>
      <c r="I544" s="187">
        <f t="shared" si="40"/>
        <v>3614.46</v>
      </c>
      <c r="J544" s="187">
        <f t="shared" si="40"/>
        <v>0</v>
      </c>
      <c r="K544" s="187">
        <f t="shared" si="40"/>
        <v>0</v>
      </c>
      <c r="L544" s="187">
        <f t="shared" si="40"/>
        <v>61305.03</v>
      </c>
      <c r="M544" s="8"/>
      <c r="N544" s="263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3" t="s">
        <v>433</v>
      </c>
      <c r="E545" s="106"/>
      <c r="F545" s="88">
        <f>F524+F529+F534+F539+F544</f>
        <v>1740874.4699999997</v>
      </c>
      <c r="G545" s="88">
        <f t="shared" ref="G545:L545" si="41">G524+G529+G534+G539+G544</f>
        <v>920341.46000000008</v>
      </c>
      <c r="H545" s="88">
        <f t="shared" si="41"/>
        <v>181303.36000000002</v>
      </c>
      <c r="I545" s="88">
        <f t="shared" si="41"/>
        <v>24088.300000000003</v>
      </c>
      <c r="J545" s="88">
        <f t="shared" si="41"/>
        <v>1844.6599999999999</v>
      </c>
      <c r="K545" s="88">
        <f t="shared" si="41"/>
        <v>4275.88</v>
      </c>
      <c r="L545" s="88">
        <f t="shared" si="41"/>
        <v>2872728.1299999994</v>
      </c>
      <c r="M545" s="8"/>
      <c r="N545" s="263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63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63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63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1293568.6999999997</v>
      </c>
      <c r="G549" s="86">
        <f>L526</f>
        <v>271501.70000000007</v>
      </c>
      <c r="H549" s="86">
        <f>L531</f>
        <v>65353.789999999994</v>
      </c>
      <c r="I549" s="86">
        <f>L536</f>
        <v>0</v>
      </c>
      <c r="J549" s="86">
        <f>L541</f>
        <v>54049.97</v>
      </c>
      <c r="K549" s="86">
        <f>SUM(F549:J549)</f>
        <v>1684474.16</v>
      </c>
      <c r="L549" s="24" t="s">
        <v>289</v>
      </c>
      <c r="M549" s="8"/>
      <c r="N549" s="263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309077.05000000005</v>
      </c>
      <c r="G550" s="86">
        <f>L527</f>
        <v>73972.06</v>
      </c>
      <c r="H550" s="86">
        <f>L532</f>
        <v>38864.89</v>
      </c>
      <c r="I550" s="86">
        <f>L537</f>
        <v>0</v>
      </c>
      <c r="J550" s="86">
        <f>L542</f>
        <v>2902.03</v>
      </c>
      <c r="K550" s="86">
        <f>SUM(F550:J550)</f>
        <v>424816.03000000009</v>
      </c>
      <c r="L550" s="24" t="s">
        <v>289</v>
      </c>
      <c r="M550" s="8"/>
      <c r="N550" s="263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661297.52</v>
      </c>
      <c r="G551" s="86">
        <f>L528</f>
        <v>97787.39</v>
      </c>
      <c r="H551" s="86">
        <f>L533</f>
        <v>0</v>
      </c>
      <c r="I551" s="86">
        <f>L538</f>
        <v>0</v>
      </c>
      <c r="J551" s="86">
        <f>L543</f>
        <v>4353.03</v>
      </c>
      <c r="K551" s="86">
        <f>SUM(F551:J551)</f>
        <v>763437.94000000006</v>
      </c>
      <c r="L551" s="24" t="s">
        <v>289</v>
      </c>
      <c r="M551" s="8"/>
      <c r="N551" s="263"/>
    </row>
    <row r="552" spans="1:14" s="3" customFormat="1" ht="12" customHeight="1" thickTop="1" x14ac:dyDescent="0.15">
      <c r="A552" s="167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2">SUM(F549:F551)</f>
        <v>2263943.2699999996</v>
      </c>
      <c r="G552" s="88">
        <f t="shared" si="42"/>
        <v>443261.15000000008</v>
      </c>
      <c r="H552" s="88">
        <f t="shared" si="42"/>
        <v>104218.68</v>
      </c>
      <c r="I552" s="88">
        <f t="shared" si="42"/>
        <v>0</v>
      </c>
      <c r="J552" s="88">
        <f t="shared" si="42"/>
        <v>61305.03</v>
      </c>
      <c r="K552" s="88">
        <f t="shared" si="42"/>
        <v>2872728.13</v>
      </c>
      <c r="L552" s="24"/>
      <c r="M552" s="8"/>
      <c r="N552" s="263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63"/>
    </row>
    <row r="554" spans="1:14" s="3" customFormat="1" ht="12" customHeight="1" x14ac:dyDescent="0.15">
      <c r="B554" s="104"/>
      <c r="C554" s="114"/>
      <c r="D554" s="114"/>
      <c r="E554" s="114"/>
      <c r="F554" s="171" t="s">
        <v>693</v>
      </c>
      <c r="G554" s="171" t="s">
        <v>694</v>
      </c>
      <c r="H554" s="171" t="s">
        <v>695</v>
      </c>
      <c r="I554" s="171" t="s">
        <v>696</v>
      </c>
      <c r="J554" s="171" t="s">
        <v>697</v>
      </c>
      <c r="K554" s="171" t="s">
        <v>698</v>
      </c>
      <c r="L554" s="105"/>
      <c r="M554" s="8"/>
      <c r="N554" s="263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63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3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  <c r="N557" s="263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  <c r="N558" s="263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  <c r="N559" s="263"/>
    </row>
    <row r="560" spans="1:14" s="3" customFormat="1" ht="12" customHeight="1" thickTop="1" x14ac:dyDescent="0.15">
      <c r="A560" s="138" t="s">
        <v>63</v>
      </c>
      <c r="B560" s="106">
        <v>22</v>
      </c>
      <c r="C560" s="189">
        <v>4</v>
      </c>
      <c r="D560" s="190" t="s">
        <v>433</v>
      </c>
      <c r="E560" s="189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63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3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57385.33</v>
      </c>
      <c r="G562" s="18">
        <v>0</v>
      </c>
      <c r="H562" s="18">
        <v>0</v>
      </c>
      <c r="I562" s="18">
        <v>629.09999999999991</v>
      </c>
      <c r="J562" s="18">
        <v>426.99</v>
      </c>
      <c r="K562" s="18">
        <v>0</v>
      </c>
      <c r="L562" s="87">
        <f>SUM(F562:K562)</f>
        <v>58441.42</v>
      </c>
      <c r="M562" s="8"/>
      <c r="N562" s="263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21923.899999999998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21923.899999999998</v>
      </c>
      <c r="M563" s="8"/>
      <c r="N563" s="263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30330.77</v>
      </c>
      <c r="G564" s="18">
        <v>0</v>
      </c>
      <c r="H564" s="18">
        <v>0</v>
      </c>
      <c r="I564" s="18">
        <v>91.39</v>
      </c>
      <c r="J564" s="18">
        <v>0</v>
      </c>
      <c r="K564" s="18">
        <v>0</v>
      </c>
      <c r="L564" s="87">
        <f>SUM(F564:K564)</f>
        <v>30422.16</v>
      </c>
      <c r="M564" s="8"/>
      <c r="N564" s="263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0" t="s">
        <v>433</v>
      </c>
      <c r="E565" s="106"/>
      <c r="F565" s="88">
        <f t="shared" ref="F565:L565" si="44">SUM(F562:F564)</f>
        <v>109640</v>
      </c>
      <c r="G565" s="88">
        <f t="shared" si="44"/>
        <v>0</v>
      </c>
      <c r="H565" s="88">
        <f t="shared" si="44"/>
        <v>0</v>
      </c>
      <c r="I565" s="88">
        <f t="shared" si="44"/>
        <v>720.4899999999999</v>
      </c>
      <c r="J565" s="88">
        <f t="shared" si="44"/>
        <v>426.99</v>
      </c>
      <c r="K565" s="88">
        <f t="shared" si="44"/>
        <v>0</v>
      </c>
      <c r="L565" s="88">
        <f t="shared" si="44"/>
        <v>110787.48</v>
      </c>
      <c r="M565" s="8"/>
      <c r="N565" s="263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3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>
        <v>1000</v>
      </c>
      <c r="G567" s="18">
        <v>233.2</v>
      </c>
      <c r="H567" s="18">
        <v>0</v>
      </c>
      <c r="I567" s="18">
        <v>1798.45</v>
      </c>
      <c r="J567" s="18">
        <v>0</v>
      </c>
      <c r="K567" s="18">
        <v>0</v>
      </c>
      <c r="L567" s="87">
        <f>SUM(F567:K567)</f>
        <v>3031.65</v>
      </c>
      <c r="M567" s="8"/>
      <c r="N567" s="263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63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>
        <v>0</v>
      </c>
      <c r="G569" s="18">
        <v>0</v>
      </c>
      <c r="H569" s="18">
        <v>7224.78</v>
      </c>
      <c r="I569" s="18">
        <v>0</v>
      </c>
      <c r="J569" s="18">
        <v>0</v>
      </c>
      <c r="K569" s="18">
        <v>1004</v>
      </c>
      <c r="L569" s="87">
        <f>SUM(F569:K569)</f>
        <v>8228.7799999999988</v>
      </c>
      <c r="M569" s="8"/>
      <c r="N569" s="263"/>
    </row>
    <row r="570" spans="1:14" s="3" customFormat="1" ht="12" customHeight="1" thickTop="1" thickBot="1" x14ac:dyDescent="0.2">
      <c r="A570" s="129" t="s">
        <v>67</v>
      </c>
      <c r="B570" s="185">
        <v>22</v>
      </c>
      <c r="C570" s="185">
        <v>12</v>
      </c>
      <c r="D570" s="191" t="s">
        <v>433</v>
      </c>
      <c r="E570" s="185"/>
      <c r="F570" s="187">
        <f>SUM(F567:F569)</f>
        <v>1000</v>
      </c>
      <c r="G570" s="187">
        <f t="shared" ref="G570:L570" si="45">SUM(G567:G569)</f>
        <v>233.2</v>
      </c>
      <c r="H570" s="187">
        <f t="shared" si="45"/>
        <v>7224.78</v>
      </c>
      <c r="I570" s="187">
        <f t="shared" si="45"/>
        <v>1798.45</v>
      </c>
      <c r="J570" s="187">
        <f t="shared" si="45"/>
        <v>0</v>
      </c>
      <c r="K570" s="187">
        <f t="shared" si="45"/>
        <v>1004</v>
      </c>
      <c r="L570" s="187">
        <f t="shared" si="45"/>
        <v>11260.429999999998</v>
      </c>
      <c r="M570" s="8"/>
      <c r="N570" s="263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3" t="s">
        <v>433</v>
      </c>
      <c r="E571" s="106"/>
      <c r="F571" s="88">
        <f>F560+F565+F570</f>
        <v>110640</v>
      </c>
      <c r="G571" s="88">
        <f t="shared" ref="G571:L571" si="46">G560+G565+G570</f>
        <v>233.2</v>
      </c>
      <c r="H571" s="88">
        <f t="shared" si="46"/>
        <v>7224.78</v>
      </c>
      <c r="I571" s="88">
        <f t="shared" si="46"/>
        <v>2518.94</v>
      </c>
      <c r="J571" s="88">
        <f t="shared" si="46"/>
        <v>426.99</v>
      </c>
      <c r="K571" s="88">
        <f t="shared" si="46"/>
        <v>1004</v>
      </c>
      <c r="L571" s="88">
        <f t="shared" si="46"/>
        <v>122047.90999999999</v>
      </c>
      <c r="M571" s="8"/>
      <c r="N571" s="263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63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63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63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>
        <v>0</v>
      </c>
      <c r="G575" s="18">
        <v>0</v>
      </c>
      <c r="H575" s="18">
        <v>40981.33</v>
      </c>
      <c r="I575" s="86">
        <f>SUM(F575:H575)</f>
        <v>40981.33</v>
      </c>
      <c r="J575" s="24" t="s">
        <v>289</v>
      </c>
      <c r="K575" s="24" t="s">
        <v>289</v>
      </c>
      <c r="L575" s="24" t="s">
        <v>289</v>
      </c>
      <c r="M575" s="8"/>
      <c r="N575" s="263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3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>
        <v>0</v>
      </c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3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3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0</v>
      </c>
      <c r="G579" s="18">
        <v>0</v>
      </c>
      <c r="H579" s="18">
        <v>7224.78</v>
      </c>
      <c r="I579" s="86">
        <f t="shared" si="47"/>
        <v>7224.78</v>
      </c>
      <c r="J579" s="24" t="s">
        <v>289</v>
      </c>
      <c r="K579" s="24" t="s">
        <v>289</v>
      </c>
      <c r="L579" s="24" t="s">
        <v>289</v>
      </c>
      <c r="M579" s="8"/>
      <c r="N579" s="263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3"/>
    </row>
    <row r="581" spans="1:14" s="3" customFormat="1" ht="12" customHeight="1" x14ac:dyDescent="0.15">
      <c r="A581" s="143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>
        <v>0</v>
      </c>
      <c r="I581" s="86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3"/>
    </row>
    <row r="582" spans="1:14" s="3" customFormat="1" ht="12" customHeight="1" x14ac:dyDescent="0.15">
      <c r="A582" s="143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v>45600</v>
      </c>
      <c r="G582" s="18">
        <v>45076.26</v>
      </c>
      <c r="H582" s="18">
        <v>0</v>
      </c>
      <c r="I582" s="86">
        <f t="shared" si="47"/>
        <v>90676.260000000009</v>
      </c>
      <c r="J582" s="24" t="s">
        <v>289</v>
      </c>
      <c r="K582" s="24" t="s">
        <v>289</v>
      </c>
      <c r="L582" s="24" t="s">
        <v>289</v>
      </c>
      <c r="M582" s="8"/>
      <c r="N582" s="263"/>
    </row>
    <row r="583" spans="1:14" s="3" customFormat="1" ht="12" customHeight="1" x14ac:dyDescent="0.15">
      <c r="A583" s="143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3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>
        <v>0</v>
      </c>
      <c r="G584" s="18">
        <v>0</v>
      </c>
      <c r="H584" s="18">
        <v>0</v>
      </c>
      <c r="I584" s="86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3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3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>
        <v>0</v>
      </c>
      <c r="I586" s="86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3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63"/>
    </row>
    <row r="588" spans="1:14" s="3" customFormat="1" ht="12" customHeight="1" x14ac:dyDescent="0.15">
      <c r="A588" s="168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63"/>
    </row>
    <row r="589" spans="1:14" s="3" customFormat="1" ht="12" customHeight="1" x14ac:dyDescent="0.15">
      <c r="A589" s="144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63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63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110776.5</v>
      </c>
      <c r="I591" s="18">
        <v>43370.6</v>
      </c>
      <c r="J591" s="18">
        <v>65055.899999999994</v>
      </c>
      <c r="K591" s="103">
        <f t="shared" ref="K591:K597" si="48">SUM(H591:J591)</f>
        <v>219203</v>
      </c>
      <c r="L591" s="24" t="s">
        <v>289</v>
      </c>
      <c r="M591" s="8"/>
      <c r="N591" s="263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54049.969999999987</v>
      </c>
      <c r="I592" s="18">
        <v>2902.03</v>
      </c>
      <c r="J592" s="18">
        <v>4353.03</v>
      </c>
      <c r="K592" s="103">
        <f t="shared" si="48"/>
        <v>61305.029999999984</v>
      </c>
      <c r="L592" s="24" t="s">
        <v>289</v>
      </c>
      <c r="M592" s="8"/>
      <c r="N592" s="263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24095</v>
      </c>
      <c r="K593" s="103">
        <f t="shared" si="48"/>
        <v>24095</v>
      </c>
      <c r="L593" s="24" t="s">
        <v>289</v>
      </c>
      <c r="M593" s="8"/>
      <c r="N593" s="263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>
        <v>0</v>
      </c>
      <c r="I594" s="18">
        <v>0</v>
      </c>
      <c r="J594" s="18">
        <v>72310.289999999994</v>
      </c>
      <c r="K594" s="103">
        <f t="shared" si="48"/>
        <v>72310.289999999994</v>
      </c>
      <c r="L594" s="24" t="s">
        <v>289</v>
      </c>
      <c r="M594" s="8"/>
      <c r="N594" s="263"/>
    </row>
    <row r="595" spans="1:14" s="3" customFormat="1" ht="12" customHeight="1" x14ac:dyDescent="0.15">
      <c r="A595" s="166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v>9900</v>
      </c>
      <c r="I595" s="18">
        <v>0</v>
      </c>
      <c r="J595" s="18">
        <v>7741.95</v>
      </c>
      <c r="K595" s="103">
        <f t="shared" si="48"/>
        <v>17641.95</v>
      </c>
      <c r="L595" s="24" t="s">
        <v>289</v>
      </c>
      <c r="M595" s="8"/>
      <c r="N595" s="263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8"/>
        <v>0</v>
      </c>
      <c r="L596" s="24" t="s">
        <v>289</v>
      </c>
      <c r="M596" s="8"/>
      <c r="N596" s="263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8"/>
        <v>0</v>
      </c>
      <c r="L597" s="24" t="s">
        <v>289</v>
      </c>
      <c r="M597" s="8"/>
      <c r="N597" s="263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5">
        <v>2700</v>
      </c>
      <c r="G598" s="146" t="s">
        <v>97</v>
      </c>
      <c r="H598" s="107">
        <f>SUM(H591:H597)</f>
        <v>174726.46999999997</v>
      </c>
      <c r="I598" s="107">
        <f>SUM(I591:I597)</f>
        <v>46272.63</v>
      </c>
      <c r="J598" s="107">
        <f>SUM(J591:J597)</f>
        <v>173556.16999999998</v>
      </c>
      <c r="K598" s="107">
        <f>SUM(K591:K597)</f>
        <v>394555.26999999996</v>
      </c>
      <c r="L598" s="24" t="s">
        <v>289</v>
      </c>
      <c r="M598" s="8"/>
      <c r="N598" s="263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63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63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63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63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289</v>
      </c>
      <c r="M603" s="8"/>
      <c r="N603" s="263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v>108326.76000000001</v>
      </c>
      <c r="I604" s="18">
        <v>23339.96</v>
      </c>
      <c r="J604" s="18">
        <v>143887.16999999998</v>
      </c>
      <c r="K604" s="103">
        <f>SUM(H604:J604)</f>
        <v>275553.89</v>
      </c>
      <c r="L604" s="24" t="s">
        <v>289</v>
      </c>
      <c r="M604" s="8"/>
      <c r="N604" s="263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6" t="s">
        <v>477</v>
      </c>
      <c r="G605" s="145">
        <v>700</v>
      </c>
      <c r="H605" s="107">
        <f>SUM(H602:H604)</f>
        <v>108326.76000000001</v>
      </c>
      <c r="I605" s="107">
        <f>SUM(I602:I604)</f>
        <v>23339.96</v>
      </c>
      <c r="J605" s="107">
        <f>SUM(J602:J604)</f>
        <v>143887.16999999998</v>
      </c>
      <c r="K605" s="107">
        <f>SUM(K602:K604)</f>
        <v>275553.89</v>
      </c>
      <c r="L605" s="24" t="s">
        <v>289</v>
      </c>
      <c r="M605" s="8"/>
      <c r="N605" s="263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63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63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63"/>
    </row>
    <row r="609" spans="1:14" s="3" customFormat="1" ht="12" customHeight="1" x14ac:dyDescent="0.15">
      <c r="B609" s="104"/>
      <c r="C609" s="104"/>
      <c r="D609" s="104"/>
      <c r="E609" s="104"/>
      <c r="F609" s="171" t="s">
        <v>693</v>
      </c>
      <c r="G609" s="171" t="s">
        <v>694</v>
      </c>
      <c r="H609" s="171" t="s">
        <v>695</v>
      </c>
      <c r="I609" s="171" t="s">
        <v>696</v>
      </c>
      <c r="J609" s="171" t="s">
        <v>697</v>
      </c>
      <c r="K609" s="171" t="s">
        <v>698</v>
      </c>
      <c r="L609" s="87"/>
      <c r="M609" s="8"/>
      <c r="N609" s="263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63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31772.89</v>
      </c>
      <c r="G611" s="18">
        <v>6835.52</v>
      </c>
      <c r="H611" s="18">
        <v>2350</v>
      </c>
      <c r="I611" s="18">
        <v>51.46</v>
      </c>
      <c r="J611" s="18">
        <v>0</v>
      </c>
      <c r="K611" s="18">
        <v>0</v>
      </c>
      <c r="L611" s="87">
        <f>SUM(F611:K611)</f>
        <v>41009.870000000003</v>
      </c>
      <c r="M611" s="8"/>
      <c r="N611" s="263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>
        <v>2588.0299999999997</v>
      </c>
      <c r="G612" s="18">
        <v>568.06999999999994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3156.0999999999995</v>
      </c>
      <c r="M612" s="8"/>
      <c r="N612" s="263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>
        <v>5253.92</v>
      </c>
      <c r="G613" s="18">
        <v>1056.4699999999998</v>
      </c>
      <c r="H613" s="18">
        <v>0</v>
      </c>
      <c r="I613" s="18">
        <v>77.19</v>
      </c>
      <c r="J613" s="18">
        <v>0</v>
      </c>
      <c r="K613" s="18">
        <v>0</v>
      </c>
      <c r="L613" s="87">
        <f>SUM(F613:K613)</f>
        <v>6387.579999999999</v>
      </c>
      <c r="M613" s="8"/>
      <c r="N613" s="263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49">SUM(F611:F613)</f>
        <v>39614.839999999997</v>
      </c>
      <c r="G614" s="107">
        <f t="shared" si="49"/>
        <v>8460.06</v>
      </c>
      <c r="H614" s="107">
        <f t="shared" si="49"/>
        <v>2350</v>
      </c>
      <c r="I614" s="107">
        <f t="shared" si="49"/>
        <v>128.65</v>
      </c>
      <c r="J614" s="107">
        <f t="shared" si="49"/>
        <v>0</v>
      </c>
      <c r="K614" s="107">
        <f t="shared" si="49"/>
        <v>0</v>
      </c>
      <c r="L614" s="88">
        <f t="shared" si="49"/>
        <v>50553.55</v>
      </c>
      <c r="M614" s="8"/>
      <c r="N614" s="263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7" t="s">
        <v>53</v>
      </c>
      <c r="G616" s="148"/>
      <c r="H616" s="148"/>
      <c r="I616" s="147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1295518.2999999998</v>
      </c>
      <c r="H617" s="108">
        <f>SUM(F52)</f>
        <v>1295518.3</v>
      </c>
      <c r="I617" s="120" t="s">
        <v>891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26771.490000000005</v>
      </c>
      <c r="H618" s="108">
        <f>SUM(G52)</f>
        <v>26771.489999999998</v>
      </c>
      <c r="I618" s="120" t="s">
        <v>892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-7269.2799999999988</v>
      </c>
      <c r="H619" s="108">
        <f>SUM(H52)</f>
        <v>-7269.28</v>
      </c>
      <c r="I619" s="120" t="s">
        <v>893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0</v>
      </c>
      <c r="H620" s="108">
        <f>SUM(I52)</f>
        <v>0</v>
      </c>
      <c r="I620" s="120" t="s">
        <v>894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796482.53</v>
      </c>
      <c r="H621" s="108">
        <f>SUM(J52)</f>
        <v>796482.53</v>
      </c>
      <c r="I621" s="120" t="s">
        <v>895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1065633.02</v>
      </c>
      <c r="H622" s="108">
        <f>F476</f>
        <v>1065633.0199999996</v>
      </c>
      <c r="I622" s="120" t="s">
        <v>101</v>
      </c>
      <c r="J622" s="108">
        <f t="shared" ref="J622:J655" si="50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0</v>
      </c>
      <c r="H623" s="108">
        <f>G476</f>
        <v>0</v>
      </c>
      <c r="I623" s="120" t="s">
        <v>102</v>
      </c>
      <c r="J623" s="108">
        <f t="shared" si="50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0</v>
      </c>
      <c r="H624" s="108">
        <f>H476</f>
        <v>0</v>
      </c>
      <c r="I624" s="120" t="s">
        <v>103</v>
      </c>
      <c r="J624" s="108">
        <f t="shared" si="50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0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796482.53</v>
      </c>
      <c r="H626" s="108">
        <f>J476</f>
        <v>796482.53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14778786.769999998</v>
      </c>
      <c r="H627" s="103">
        <f>SUM(F468)</f>
        <v>14778786.77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433198.94</v>
      </c>
      <c r="H628" s="103">
        <f>SUM(G468)</f>
        <v>433198.94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636322.79</v>
      </c>
      <c r="H629" s="103">
        <f>SUM(H468)</f>
        <v>636322.79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57586.5</v>
      </c>
      <c r="H630" s="103">
        <f>SUM(I468)</f>
        <v>57586.5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104539.49</v>
      </c>
      <c r="H631" s="103">
        <f>SUM(J468)</f>
        <v>104539.49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14961556.579999998</v>
      </c>
      <c r="H632" s="103">
        <f>SUM(F472)</f>
        <v>14961556.58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636322.7899999998</v>
      </c>
      <c r="H633" s="103">
        <f>SUM(H472)</f>
        <v>636322.7899999998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157368.85999999999</v>
      </c>
      <c r="H634" s="103">
        <f>I369</f>
        <v>157368.86000000002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4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433807.41000000003</v>
      </c>
      <c r="H635" s="103">
        <f>SUM(G472)</f>
        <v>433807.41000000003</v>
      </c>
      <c r="I635" s="139" t="s">
        <v>114</v>
      </c>
      <c r="J635" s="108">
        <f t="shared" si="50"/>
        <v>0</v>
      </c>
      <c r="K635" s="84"/>
      <c r="L635" s="87"/>
      <c r="M635" s="163"/>
    </row>
    <row r="636" spans="1:13" s="164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77912.62</v>
      </c>
      <c r="H636" s="103">
        <f>SUM(I472)</f>
        <v>77912.62</v>
      </c>
      <c r="I636" s="139" t="s">
        <v>116</v>
      </c>
      <c r="J636" s="108">
        <f t="shared" si="50"/>
        <v>0</v>
      </c>
      <c r="K636" s="84"/>
      <c r="L636" s="87"/>
      <c r="M636" s="163"/>
    </row>
    <row r="637" spans="1:13" s="3" customFormat="1" ht="12" customHeight="1" x14ac:dyDescent="0.15">
      <c r="A637" s="156"/>
      <c r="B637" s="157"/>
      <c r="C637" s="157"/>
      <c r="D637" s="157"/>
      <c r="E637" s="157"/>
      <c r="F637" s="158" t="s">
        <v>478</v>
      </c>
      <c r="G637" s="148">
        <f>SUM(L408)</f>
        <v>104539.49</v>
      </c>
      <c r="H637" s="159">
        <f>SUM(J468)</f>
        <v>104539.49</v>
      </c>
      <c r="I637" s="160" t="s">
        <v>110</v>
      </c>
      <c r="J637" s="148">
        <f t="shared" si="50"/>
        <v>0</v>
      </c>
      <c r="K637" s="161"/>
      <c r="L637" s="162"/>
      <c r="M637" s="8"/>
    </row>
    <row r="638" spans="1:13" s="3" customFormat="1" ht="12" customHeight="1" x14ac:dyDescent="0.15">
      <c r="A638" s="156"/>
      <c r="B638" s="157"/>
      <c r="C638" s="157"/>
      <c r="D638" s="157"/>
      <c r="E638" s="157"/>
      <c r="F638" s="158" t="s">
        <v>479</v>
      </c>
      <c r="G638" s="148">
        <f>SUM(L434)</f>
        <v>0</v>
      </c>
      <c r="H638" s="159">
        <f>SUM(J472)</f>
        <v>0</v>
      </c>
      <c r="I638" s="160" t="s">
        <v>117</v>
      </c>
      <c r="J638" s="148">
        <f t="shared" si="50"/>
        <v>0</v>
      </c>
      <c r="K638" s="161"/>
      <c r="L638" s="162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796482.53</v>
      </c>
      <c r="H639" s="103">
        <f>SUM(F461)</f>
        <v>796482.53</v>
      </c>
      <c r="I639" s="139" t="s">
        <v>857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858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859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796482.53</v>
      </c>
      <c r="H642" s="103">
        <f>SUM(I461)</f>
        <v>796482.53</v>
      </c>
      <c r="I642" s="139" t="s">
        <v>860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2057.4899999999998</v>
      </c>
      <c r="H644" s="103">
        <f>H408</f>
        <v>2057.4899999999998</v>
      </c>
      <c r="I644" s="139" t="s">
        <v>481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90000</v>
      </c>
      <c r="H645" s="103">
        <f>G408</f>
        <v>90000</v>
      </c>
      <c r="I645" s="139" t="s">
        <v>482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104539.49</v>
      </c>
      <c r="H646" s="103">
        <f>L408</f>
        <v>104539.49</v>
      </c>
      <c r="I646" s="139" t="s">
        <v>478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394555.26999999996</v>
      </c>
      <c r="H647" s="103">
        <f>L208+L226+L244</f>
        <v>394555.27</v>
      </c>
      <c r="I647" s="139" t="s">
        <v>397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275553.89</v>
      </c>
      <c r="H648" s="103">
        <f>(J257+J338)-(J255+J336)</f>
        <v>275553.89</v>
      </c>
      <c r="I648" s="139" t="s">
        <v>703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174726.47</v>
      </c>
      <c r="H649" s="103">
        <f>H598</f>
        <v>174726.46999999997</v>
      </c>
      <c r="I649" s="139" t="s">
        <v>389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46272.63</v>
      </c>
      <c r="H650" s="103">
        <f>I598</f>
        <v>46272.63</v>
      </c>
      <c r="I650" s="139" t="s">
        <v>390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173556.17</v>
      </c>
      <c r="H651" s="103">
        <f>J598</f>
        <v>173556.16999999998</v>
      </c>
      <c r="I651" s="139" t="s">
        <v>391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68241.95</v>
      </c>
      <c r="H652" s="103">
        <f>K263+K345</f>
        <v>68241.95</v>
      </c>
      <c r="I652" s="139" t="s">
        <v>398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57586.5</v>
      </c>
      <c r="H654" s="103">
        <f>K265+K346</f>
        <v>57586.5</v>
      </c>
      <c r="I654" s="139" t="s">
        <v>400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90000</v>
      </c>
      <c r="H655" s="103">
        <f>K266+K347</f>
        <v>90000</v>
      </c>
      <c r="I655" s="139" t="s">
        <v>401</v>
      </c>
      <c r="J655" s="108">
        <f t="shared" si="50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65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7310709.3699999992</v>
      </c>
      <c r="G660" s="19">
        <f>(L229+L309+L359)</f>
        <v>1751016.5899999996</v>
      </c>
      <c r="H660" s="19">
        <f>(L247+L328+L360)</f>
        <v>5931247.6799999997</v>
      </c>
      <c r="I660" s="19">
        <f>SUM(F660:H660)</f>
        <v>14992973.639999999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68393.93483215879</v>
      </c>
      <c r="G661" s="19">
        <f>(L359/IF(SUM(L358:L360)=0,1,SUM(L358:L360))*(SUM(G97:G110)))</f>
        <v>0</v>
      </c>
      <c r="H661" s="19">
        <f>(L360/IF(SUM(L358:L360)=0,1,SUM(L358:L360))*(SUM(G97:G110)))</f>
        <v>80213.72516784117</v>
      </c>
      <c r="I661" s="19">
        <f>SUM(F661:H661)</f>
        <v>148607.65999999997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174726.47</v>
      </c>
      <c r="G662" s="19">
        <f>(L226+L306)-(J226+J306)</f>
        <v>46272.63</v>
      </c>
      <c r="H662" s="19">
        <f>(L244+L325)-(J244+J325)</f>
        <v>173556.17</v>
      </c>
      <c r="I662" s="19">
        <f>SUM(F662:H662)</f>
        <v>394555.27</v>
      </c>
      <c r="J662"/>
      <c r="K662" s="13"/>
      <c r="L662" s="13"/>
      <c r="M662" s="8"/>
    </row>
    <row r="663" spans="1:13" s="3" customFormat="1" ht="12" customHeight="1" x14ac:dyDescent="0.15">
      <c r="A663" s="192" t="s">
        <v>129</v>
      </c>
      <c r="B663" s="164"/>
      <c r="C663" s="164"/>
      <c r="D663" s="164"/>
      <c r="E663" s="164"/>
      <c r="F663" s="193">
        <f>SUM(F575:F587)+SUM(H602:H604)+SUM(L611)</f>
        <v>194936.63</v>
      </c>
      <c r="G663" s="193">
        <f>SUM(G575:G587)+SUM(I602:I604)+L612</f>
        <v>71572.320000000007</v>
      </c>
      <c r="H663" s="193">
        <f>SUM(H575:H587)+SUM(J602:J604)+L613</f>
        <v>198480.85999999996</v>
      </c>
      <c r="I663" s="19">
        <f>SUM(F663:H663)</f>
        <v>464989.80999999994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6872652.3351678401</v>
      </c>
      <c r="G664" s="19">
        <f>G660-SUM(G661:G663)</f>
        <v>1633171.6399999997</v>
      </c>
      <c r="H664" s="19">
        <f>H660-SUM(H661:H663)</f>
        <v>5478996.9248321587</v>
      </c>
      <c r="I664" s="19">
        <f>I660-SUM(I661:I663)</f>
        <v>13984820.899999999</v>
      </c>
      <c r="J664" s="13"/>
      <c r="K664" s="13"/>
      <c r="L664" s="13"/>
      <c r="M664" s="9"/>
    </row>
    <row r="665" spans="1:13" s="3" customFormat="1" ht="12" customHeight="1" x14ac:dyDescent="0.15">
      <c r="A665" s="1" t="s">
        <v>131</v>
      </c>
      <c r="F665" s="18">
        <v>380.74</v>
      </c>
      <c r="G665" s="18">
        <v>116.7</v>
      </c>
      <c r="H665" s="18">
        <v>211.95</v>
      </c>
      <c r="I665" s="19">
        <f>SUM(F665:H665)</f>
        <v>709.39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18050.78</v>
      </c>
      <c r="G667" s="19">
        <f>ROUND(G664/G665,2)</f>
        <v>13994.62</v>
      </c>
      <c r="H667" s="19">
        <f>ROUND(H664/H665,2)</f>
        <v>25850.42</v>
      </c>
      <c r="I667" s="19">
        <f>ROUND(I664/I665,2)</f>
        <v>19713.87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25.17</v>
      </c>
      <c r="I670" s="19">
        <f>SUM(F670:H670)</f>
        <v>25.17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18050.78</v>
      </c>
      <c r="G672" s="19">
        <f>ROUND((G664+G669)/(G665+G670),2)</f>
        <v>13994.62</v>
      </c>
      <c r="H672" s="19">
        <f>ROUND((H664+H669)/(H665+H670),2)</f>
        <v>23106.43</v>
      </c>
      <c r="I672" s="19">
        <f>ROUND((I664+I669)/(I665+I670),2)</f>
        <v>19038.36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26" t="s">
        <v>785</v>
      </c>
      <c r="B1" s="225" t="str">
        <f>'DOE25'!A2</f>
        <v>LITTLETON SCHOOL DISTRICT</v>
      </c>
      <c r="C1" s="231" t="s">
        <v>839</v>
      </c>
    </row>
    <row r="2" spans="1:3" x14ac:dyDescent="0.2">
      <c r="A2" s="226"/>
      <c r="B2" s="225"/>
    </row>
    <row r="3" spans="1:3" x14ac:dyDescent="0.2">
      <c r="A3" s="272" t="s">
        <v>784</v>
      </c>
      <c r="B3" s="272"/>
      <c r="C3" s="272"/>
    </row>
    <row r="4" spans="1:3" x14ac:dyDescent="0.2">
      <c r="A4" s="229"/>
      <c r="B4" s="230" t="str">
        <f>'DOE25'!H1</f>
        <v>DOE 25  2015-2016</v>
      </c>
      <c r="C4" s="229"/>
    </row>
    <row r="5" spans="1:3" x14ac:dyDescent="0.2">
      <c r="A5" s="226"/>
      <c r="B5" s="225"/>
    </row>
    <row r="6" spans="1:3" x14ac:dyDescent="0.2">
      <c r="A6" s="220"/>
      <c r="B6" s="271" t="s">
        <v>783</v>
      </c>
      <c r="C6" s="271"/>
    </row>
    <row r="7" spans="1:3" x14ac:dyDescent="0.2">
      <c r="A7" s="232" t="s">
        <v>786</v>
      </c>
      <c r="B7" s="269" t="s">
        <v>782</v>
      </c>
      <c r="C7" s="270"/>
    </row>
    <row r="8" spans="1:3" x14ac:dyDescent="0.2">
      <c r="B8" s="221" t="s">
        <v>54</v>
      </c>
      <c r="C8" s="221" t="s">
        <v>776</v>
      </c>
    </row>
    <row r="9" spans="1:3" x14ac:dyDescent="0.2">
      <c r="A9" s="33" t="s">
        <v>777</v>
      </c>
      <c r="B9" s="222">
        <f>'DOE25'!F197+'DOE25'!F215+'DOE25'!F233+'DOE25'!F276+'DOE25'!F295+'DOE25'!F314</f>
        <v>3355329.8</v>
      </c>
      <c r="C9" s="222">
        <f>'DOE25'!G197+'DOE25'!G215+'DOE25'!G233+'DOE25'!G276+'DOE25'!G295+'DOE25'!G314</f>
        <v>1793329.36</v>
      </c>
    </row>
    <row r="10" spans="1:3" x14ac:dyDescent="0.2">
      <c r="A10" t="s">
        <v>779</v>
      </c>
      <c r="B10" s="233">
        <v>3210637.9699999997</v>
      </c>
      <c r="C10" s="233">
        <v>1750920.45</v>
      </c>
    </row>
    <row r="11" spans="1:3" x14ac:dyDescent="0.2">
      <c r="A11" t="s">
        <v>780</v>
      </c>
      <c r="B11" s="233">
        <v>73686.31</v>
      </c>
      <c r="C11" s="233">
        <v>36976.99</v>
      </c>
    </row>
    <row r="12" spans="1:3" x14ac:dyDescent="0.2">
      <c r="A12" t="s">
        <v>781</v>
      </c>
      <c r="B12" s="233">
        <v>71005.51999999999</v>
      </c>
      <c r="C12" s="233">
        <v>5431.92</v>
      </c>
    </row>
    <row r="13" spans="1:3" x14ac:dyDescent="0.2">
      <c r="A13" t="str">
        <f>IF(B9=B13,IF(C9=C13,"Check Total OK","Check Total Error"),"Check Total Error")</f>
        <v>Check Total OK</v>
      </c>
      <c r="B13" s="224">
        <f>SUM(B10:B12)</f>
        <v>3355329.8</v>
      </c>
      <c r="C13" s="224">
        <f>SUM(C10:C12)</f>
        <v>1793329.3599999999</v>
      </c>
    </row>
    <row r="14" spans="1:3" x14ac:dyDescent="0.2">
      <c r="B14" s="223"/>
      <c r="C14" s="223"/>
    </row>
    <row r="15" spans="1:3" x14ac:dyDescent="0.2">
      <c r="B15" s="271" t="s">
        <v>783</v>
      </c>
      <c r="C15" s="271"/>
    </row>
    <row r="16" spans="1:3" x14ac:dyDescent="0.2">
      <c r="A16" s="232" t="s">
        <v>787</v>
      </c>
      <c r="B16" s="269" t="s">
        <v>707</v>
      </c>
      <c r="C16" s="270"/>
    </row>
    <row r="17" spans="1:3" x14ac:dyDescent="0.2">
      <c r="B17" s="221" t="s">
        <v>54</v>
      </c>
      <c r="C17" s="221" t="s">
        <v>776</v>
      </c>
    </row>
    <row r="18" spans="1:3" x14ac:dyDescent="0.2">
      <c r="A18" s="33" t="s">
        <v>777</v>
      </c>
      <c r="B18" s="222">
        <f>'DOE25'!F198+'DOE25'!F216+'DOE25'!F234+'DOE25'!F277+'DOE25'!F296+'DOE25'!F315</f>
        <v>1554756.83</v>
      </c>
      <c r="C18" s="222">
        <f>'DOE25'!G198+'DOE25'!G216+'DOE25'!G234+'DOE25'!G277+'DOE25'!G296+'DOE25'!G315</f>
        <v>833316.9800000001</v>
      </c>
    </row>
    <row r="19" spans="1:3" x14ac:dyDescent="0.2">
      <c r="A19" t="s">
        <v>779</v>
      </c>
      <c r="B19" s="233">
        <v>754398.5</v>
      </c>
      <c r="C19" s="233">
        <v>430969.70999999996</v>
      </c>
    </row>
    <row r="20" spans="1:3" x14ac:dyDescent="0.2">
      <c r="A20" t="s">
        <v>780</v>
      </c>
      <c r="B20" s="233">
        <v>762463.30999999994</v>
      </c>
      <c r="C20" s="233">
        <v>399448.30000000005</v>
      </c>
    </row>
    <row r="21" spans="1:3" x14ac:dyDescent="0.2">
      <c r="A21" t="s">
        <v>781</v>
      </c>
      <c r="B21" s="233">
        <v>37895.020000000004</v>
      </c>
      <c r="C21" s="233">
        <v>2898.97</v>
      </c>
    </row>
    <row r="22" spans="1:3" x14ac:dyDescent="0.2">
      <c r="A22" t="str">
        <f>IF(B18=B22,IF(C18=C22,"Check Total OK","Check Total Error"),"Check Total Error")</f>
        <v>Check Total OK</v>
      </c>
      <c r="B22" s="224">
        <f>SUM(B19:B21)</f>
        <v>1554756.83</v>
      </c>
      <c r="C22" s="224">
        <f>SUM(C19:C21)</f>
        <v>833316.98</v>
      </c>
    </row>
    <row r="23" spans="1:3" x14ac:dyDescent="0.2">
      <c r="B23" s="223"/>
      <c r="C23" s="223"/>
    </row>
    <row r="24" spans="1:3" x14ac:dyDescent="0.2">
      <c r="B24" s="271" t="s">
        <v>783</v>
      </c>
      <c r="C24" s="271"/>
    </row>
    <row r="25" spans="1:3" x14ac:dyDescent="0.2">
      <c r="A25" s="232" t="s">
        <v>788</v>
      </c>
      <c r="B25" s="269" t="s">
        <v>708</v>
      </c>
      <c r="C25" s="270"/>
    </row>
    <row r="26" spans="1:3" x14ac:dyDescent="0.2">
      <c r="B26" s="221" t="s">
        <v>54</v>
      </c>
      <c r="C26" s="221" t="s">
        <v>776</v>
      </c>
    </row>
    <row r="27" spans="1:3" x14ac:dyDescent="0.2">
      <c r="A27" s="33" t="s">
        <v>777</v>
      </c>
      <c r="B27" s="227">
        <f>'DOE25'!F199+'DOE25'!F217+'DOE25'!F235+'DOE25'!F278+'DOE25'!F297+'DOE25'!F316</f>
        <v>688232.53</v>
      </c>
      <c r="C27" s="227">
        <f>'DOE25'!G199+'DOE25'!G217+'DOE25'!G235+'DOE25'!G278+'DOE25'!G297+'DOE25'!G316</f>
        <v>334645.69</v>
      </c>
    </row>
    <row r="28" spans="1:3" x14ac:dyDescent="0.2">
      <c r="A28" t="s">
        <v>779</v>
      </c>
      <c r="B28" s="233">
        <v>636878.46</v>
      </c>
      <c r="C28" s="233">
        <v>311433.38</v>
      </c>
    </row>
    <row r="29" spans="1:3" x14ac:dyDescent="0.2">
      <c r="A29" t="s">
        <v>780</v>
      </c>
      <c r="B29" s="233">
        <v>51354.07</v>
      </c>
      <c r="C29" s="233">
        <v>23212.309999999998</v>
      </c>
    </row>
    <row r="30" spans="1:3" x14ac:dyDescent="0.2">
      <c r="A30" t="s">
        <v>781</v>
      </c>
      <c r="B30" s="233">
        <v>0</v>
      </c>
      <c r="C30" s="233">
        <v>0</v>
      </c>
    </row>
    <row r="31" spans="1:3" x14ac:dyDescent="0.2">
      <c r="A31" t="str">
        <f>IF(B27=B31,IF(C27=C31,"Check Total OK","Check Total Error"),"Check Total Error")</f>
        <v>Check Total OK</v>
      </c>
      <c r="B31" s="224">
        <f>SUM(B28:B30)</f>
        <v>688232.52999999991</v>
      </c>
      <c r="C31" s="224">
        <f>SUM(C28:C30)</f>
        <v>334645.69</v>
      </c>
    </row>
    <row r="33" spans="1:3" x14ac:dyDescent="0.2">
      <c r="B33" s="271" t="s">
        <v>783</v>
      </c>
      <c r="C33" s="271"/>
    </row>
    <row r="34" spans="1:3" x14ac:dyDescent="0.2">
      <c r="A34" s="232" t="s">
        <v>789</v>
      </c>
      <c r="B34" s="269" t="s">
        <v>709</v>
      </c>
      <c r="C34" s="270"/>
    </row>
    <row r="35" spans="1:3" x14ac:dyDescent="0.2">
      <c r="B35" s="221" t="s">
        <v>54</v>
      </c>
      <c r="C35" s="221" t="s">
        <v>776</v>
      </c>
    </row>
    <row r="36" spans="1:3" x14ac:dyDescent="0.2">
      <c r="A36" s="33" t="s">
        <v>777</v>
      </c>
      <c r="B36" s="228">
        <f>'DOE25'!F200+'DOE25'!F218+'DOE25'!F236+'DOE25'!F279+'DOE25'!F298+'DOE25'!F317</f>
        <v>125728.47</v>
      </c>
      <c r="C36" s="228">
        <f>'DOE25'!G200+'DOE25'!G218+'DOE25'!G236+'DOE25'!G279+'DOE25'!G298+'DOE25'!G317</f>
        <v>18814.18</v>
      </c>
    </row>
    <row r="37" spans="1:3" x14ac:dyDescent="0.2">
      <c r="A37" t="s">
        <v>779</v>
      </c>
      <c r="B37" s="233">
        <v>0</v>
      </c>
      <c r="C37" s="233">
        <v>0</v>
      </c>
    </row>
    <row r="38" spans="1:3" x14ac:dyDescent="0.2">
      <c r="A38" t="s">
        <v>780</v>
      </c>
      <c r="B38" s="233">
        <v>0</v>
      </c>
      <c r="C38" s="233">
        <v>0</v>
      </c>
    </row>
    <row r="39" spans="1:3" x14ac:dyDescent="0.2">
      <c r="A39" t="s">
        <v>781</v>
      </c>
      <c r="B39" s="233">
        <v>125728.47</v>
      </c>
      <c r="C39" s="233">
        <v>18814.18</v>
      </c>
    </row>
    <row r="40" spans="1:3" x14ac:dyDescent="0.2">
      <c r="A40" t="str">
        <f>IF(B36=B40,IF(C36=C40,"Check Total OK","Check Total Error"),"Check Total Error")</f>
        <v>Check Total OK</v>
      </c>
      <c r="B40" s="224">
        <f>SUM(B37:B39)</f>
        <v>125728.47</v>
      </c>
      <c r="C40" s="224">
        <f>SUM(C37:C39)</f>
        <v>18814.18</v>
      </c>
    </row>
    <row r="41" spans="1:3" x14ac:dyDescent="0.2">
      <c r="B41" s="223"/>
      <c r="C41" s="223"/>
    </row>
    <row r="42" spans="1:3" x14ac:dyDescent="0.2">
      <c r="A42" s="33" t="s">
        <v>837</v>
      </c>
      <c r="B42" s="223"/>
      <c r="C42" s="223"/>
    </row>
    <row r="43" spans="1:3" x14ac:dyDescent="0.2">
      <c r="A43" t="s">
        <v>841</v>
      </c>
      <c r="B43" s="223"/>
      <c r="C43" s="223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55" t="s">
        <v>778</v>
      </c>
    </row>
    <row r="49" spans="1:1" x14ac:dyDescent="0.2">
      <c r="A49" s="259" t="s">
        <v>844</v>
      </c>
    </row>
    <row r="50" spans="1:1" x14ac:dyDescent="0.2">
      <c r="A50" s="259" t="s">
        <v>838</v>
      </c>
    </row>
    <row r="51" spans="1:1" x14ac:dyDescent="0.2">
      <c r="A51" s="259" t="s">
        <v>845</v>
      </c>
    </row>
    <row r="52" spans="1:1" x14ac:dyDescent="0.2">
      <c r="A52" s="260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41" sqref="D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1" t="s">
        <v>790</v>
      </c>
      <c r="B1" s="276"/>
      <c r="C1" s="276"/>
      <c r="D1" s="276"/>
      <c r="E1" s="276"/>
      <c r="F1" s="276"/>
      <c r="G1" s="276"/>
      <c r="H1" s="276"/>
      <c r="I1" s="175"/>
    </row>
    <row r="2" spans="1:9" x14ac:dyDescent="0.2">
      <c r="A2" s="33" t="s">
        <v>717</v>
      </c>
      <c r="B2" s="256" t="str">
        <f>'DOE25'!A2</f>
        <v>LITTLETON SCHOOL DISTRICT</v>
      </c>
      <c r="C2" s="175"/>
      <c r="D2" s="175" t="s">
        <v>792</v>
      </c>
      <c r="E2" s="175" t="s">
        <v>794</v>
      </c>
      <c r="F2" s="273" t="s">
        <v>821</v>
      </c>
      <c r="G2" s="274"/>
      <c r="H2" s="275"/>
      <c r="I2" s="175"/>
    </row>
    <row r="3" spans="1:9" x14ac:dyDescent="0.2">
      <c r="A3" s="175" t="s">
        <v>94</v>
      </c>
      <c r="B3" s="221" t="s">
        <v>10</v>
      </c>
      <c r="C3" s="175" t="s">
        <v>5</v>
      </c>
      <c r="D3" s="175" t="s">
        <v>793</v>
      </c>
      <c r="E3" s="175" t="s">
        <v>795</v>
      </c>
      <c r="F3" s="234" t="s">
        <v>835</v>
      </c>
      <c r="G3" s="210" t="s">
        <v>59</v>
      </c>
      <c r="H3" s="235" t="s">
        <v>798</v>
      </c>
    </row>
    <row r="4" spans="1:9" x14ac:dyDescent="0.2">
      <c r="A4" s="242" t="s">
        <v>800</v>
      </c>
      <c r="B4" s="242" t="s">
        <v>816</v>
      </c>
      <c r="C4" s="242" t="s">
        <v>791</v>
      </c>
      <c r="D4" s="242" t="s">
        <v>817</v>
      </c>
      <c r="E4" s="242" t="s">
        <v>817</v>
      </c>
      <c r="F4" s="241" t="s">
        <v>797</v>
      </c>
      <c r="G4" s="242" t="s">
        <v>811</v>
      </c>
      <c r="H4" s="243" t="s">
        <v>799</v>
      </c>
    </row>
    <row r="5" spans="1:9" x14ac:dyDescent="0.2">
      <c r="A5" s="32">
        <v>1000</v>
      </c>
      <c r="B5" t="s">
        <v>195</v>
      </c>
      <c r="C5" s="238">
        <f t="shared" ref="C5:C19" si="0">SUM(D5:H5)</f>
        <v>8711532.5600000005</v>
      </c>
      <c r="D5" s="20">
        <f>SUM('DOE25'!L197:L200)+SUM('DOE25'!L215:L218)+SUM('DOE25'!L233:L236)-F5-G5</f>
        <v>8638686.9299999997</v>
      </c>
      <c r="E5" s="236"/>
      <c r="F5" s="246">
        <f>SUM('DOE25'!J197:J200)+SUM('DOE25'!J215:J218)+SUM('DOE25'!J233:J236)</f>
        <v>45784.81</v>
      </c>
      <c r="G5" s="53">
        <f>SUM('DOE25'!K197:K200)+SUM('DOE25'!K215:K218)+SUM('DOE25'!K233:K236)</f>
        <v>27060.82</v>
      </c>
      <c r="H5" s="250"/>
    </row>
    <row r="6" spans="1:9" x14ac:dyDescent="0.2">
      <c r="A6" s="32">
        <v>2100</v>
      </c>
      <c r="B6" t="s">
        <v>801</v>
      </c>
      <c r="C6" s="238">
        <f t="shared" si="0"/>
        <v>1075092.48</v>
      </c>
      <c r="D6" s="20">
        <f>'DOE25'!L202+'DOE25'!L220+'DOE25'!L238-F6-G6</f>
        <v>1069790.5</v>
      </c>
      <c r="E6" s="236"/>
      <c r="F6" s="246">
        <f>'DOE25'!J202+'DOE25'!J220+'DOE25'!J238</f>
        <v>1905.01</v>
      </c>
      <c r="G6" s="53">
        <f>'DOE25'!K202+'DOE25'!K220+'DOE25'!K238</f>
        <v>3396.9700000000003</v>
      </c>
      <c r="H6" s="250"/>
    </row>
    <row r="7" spans="1:9" x14ac:dyDescent="0.2">
      <c r="A7" s="32">
        <v>2200</v>
      </c>
      <c r="B7" t="s">
        <v>834</v>
      </c>
      <c r="C7" s="238">
        <f t="shared" si="0"/>
        <v>460251.28</v>
      </c>
      <c r="D7" s="20">
        <f>'DOE25'!L203+'DOE25'!L221+'DOE25'!L239-F7-G7</f>
        <v>436843.84</v>
      </c>
      <c r="E7" s="236"/>
      <c r="F7" s="246">
        <f>'DOE25'!J203+'DOE25'!J221+'DOE25'!J239</f>
        <v>89.7</v>
      </c>
      <c r="G7" s="53">
        <f>'DOE25'!K203+'DOE25'!K221+'DOE25'!K239</f>
        <v>23317.739999999998</v>
      </c>
      <c r="H7" s="250"/>
    </row>
    <row r="8" spans="1:9" x14ac:dyDescent="0.2">
      <c r="A8" s="32">
        <v>2300</v>
      </c>
      <c r="B8" t="s">
        <v>802</v>
      </c>
      <c r="C8" s="238">
        <f t="shared" si="0"/>
        <v>33676.910000000178</v>
      </c>
      <c r="D8" s="236"/>
      <c r="E8" s="20">
        <f>'DOE25'!L204+'DOE25'!L222+'DOE25'!L240-F8-G8-D9-D11</f>
        <v>11352.560000000172</v>
      </c>
      <c r="F8" s="246">
        <f>'DOE25'!J204+'DOE25'!J222+'DOE25'!J240</f>
        <v>890</v>
      </c>
      <c r="G8" s="53">
        <f>'DOE25'!K204+'DOE25'!K222+'DOE25'!K240</f>
        <v>21434.350000000002</v>
      </c>
      <c r="H8" s="250"/>
    </row>
    <row r="9" spans="1:9" x14ac:dyDescent="0.2">
      <c r="A9" s="32">
        <v>2310</v>
      </c>
      <c r="B9" t="s">
        <v>818</v>
      </c>
      <c r="C9" s="238">
        <f t="shared" si="0"/>
        <v>152972.24</v>
      </c>
      <c r="D9" s="237">
        <v>152972.24</v>
      </c>
      <c r="E9" s="236"/>
      <c r="F9" s="249"/>
      <c r="G9" s="247"/>
      <c r="H9" s="250"/>
    </row>
    <row r="10" spans="1:9" x14ac:dyDescent="0.2">
      <c r="A10" s="32">
        <v>2317</v>
      </c>
      <c r="B10" t="s">
        <v>819</v>
      </c>
      <c r="C10" s="238">
        <f t="shared" si="0"/>
        <v>16924</v>
      </c>
      <c r="D10" s="236"/>
      <c r="E10" s="237">
        <v>16924</v>
      </c>
      <c r="F10" s="249"/>
      <c r="G10" s="247"/>
      <c r="H10" s="250"/>
    </row>
    <row r="11" spans="1:9" x14ac:dyDescent="0.2">
      <c r="A11" s="32">
        <v>2321</v>
      </c>
      <c r="B11" t="s">
        <v>831</v>
      </c>
      <c r="C11" s="238">
        <f t="shared" si="0"/>
        <v>436579.18999999983</v>
      </c>
      <c r="D11" s="237">
        <v>436579.18999999983</v>
      </c>
      <c r="E11" s="236"/>
      <c r="F11" s="249"/>
      <c r="G11" s="247"/>
      <c r="H11" s="250"/>
    </row>
    <row r="12" spans="1:9" x14ac:dyDescent="0.2">
      <c r="A12" s="32">
        <v>2400</v>
      </c>
      <c r="B12" t="s">
        <v>715</v>
      </c>
      <c r="C12" s="238">
        <f t="shared" si="0"/>
        <v>845862.26</v>
      </c>
      <c r="D12" s="20">
        <f>'DOE25'!L205+'DOE25'!L223+'DOE25'!L241-F12-G12</f>
        <v>813828.46</v>
      </c>
      <c r="E12" s="236"/>
      <c r="F12" s="246">
        <f>'DOE25'!J205+'DOE25'!J223+'DOE25'!J241</f>
        <v>5394.8700000000008</v>
      </c>
      <c r="G12" s="53">
        <f>'DOE25'!K205+'DOE25'!K223+'DOE25'!K241</f>
        <v>26638.93</v>
      </c>
      <c r="H12" s="250"/>
    </row>
    <row r="13" spans="1:9" x14ac:dyDescent="0.2">
      <c r="A13" s="32">
        <v>2500</v>
      </c>
      <c r="B13" t="s">
        <v>803</v>
      </c>
      <c r="C13" s="238">
        <f t="shared" si="0"/>
        <v>181237.65999999997</v>
      </c>
      <c r="D13" s="236"/>
      <c r="E13" s="20">
        <f>'DOE25'!L206+'DOE25'!L224+'DOE25'!L242-F13-G13</f>
        <v>180264.41999999998</v>
      </c>
      <c r="F13" s="246">
        <f>'DOE25'!J206+'DOE25'!J224+'DOE25'!J242</f>
        <v>0</v>
      </c>
      <c r="G13" s="53">
        <f>'DOE25'!K206+'DOE25'!K224+'DOE25'!K242</f>
        <v>973.24</v>
      </c>
      <c r="H13" s="250"/>
    </row>
    <row r="14" spans="1:9" x14ac:dyDescent="0.2">
      <c r="A14" s="32">
        <v>2600</v>
      </c>
      <c r="B14" t="s">
        <v>832</v>
      </c>
      <c r="C14" s="238">
        <f t="shared" si="0"/>
        <v>1199354.6499999999</v>
      </c>
      <c r="D14" s="20">
        <f>'DOE25'!L207+'DOE25'!L225+'DOE25'!L243-F14-G14</f>
        <v>1138572.7999999998</v>
      </c>
      <c r="E14" s="236"/>
      <c r="F14" s="246">
        <f>'DOE25'!J207+'DOE25'!J225+'DOE25'!J243</f>
        <v>58039.08</v>
      </c>
      <c r="G14" s="53">
        <f>'DOE25'!K207+'DOE25'!K225+'DOE25'!K243</f>
        <v>2742.77</v>
      </c>
      <c r="H14" s="250"/>
    </row>
    <row r="15" spans="1:9" x14ac:dyDescent="0.2">
      <c r="A15" s="32">
        <v>2700</v>
      </c>
      <c r="B15" t="s">
        <v>804</v>
      </c>
      <c r="C15" s="238">
        <f t="shared" si="0"/>
        <v>394555.27</v>
      </c>
      <c r="D15" s="20">
        <f>'DOE25'!L208+'DOE25'!L226+'DOE25'!L244-F15-G15</f>
        <v>394555.27</v>
      </c>
      <c r="E15" s="236"/>
      <c r="F15" s="246">
        <f>'DOE25'!J208+'DOE25'!J226+'DOE25'!J244</f>
        <v>0</v>
      </c>
      <c r="G15" s="53">
        <f>'DOE25'!K208+'DOE25'!K226+'DOE25'!K244</f>
        <v>0</v>
      </c>
      <c r="H15" s="250"/>
    </row>
    <row r="16" spans="1:9" x14ac:dyDescent="0.2">
      <c r="A16" s="32">
        <v>2800</v>
      </c>
      <c r="B16" t="s">
        <v>805</v>
      </c>
      <c r="C16" s="238">
        <f t="shared" si="0"/>
        <v>442030.63</v>
      </c>
      <c r="D16" s="236"/>
      <c r="E16" s="20">
        <f>'DOE25'!L209+'DOE25'!L227+'DOE25'!L245-F16-G16</f>
        <v>337127.52</v>
      </c>
      <c r="F16" s="246">
        <f>'DOE25'!J209+'DOE25'!J227+'DOE25'!J245</f>
        <v>101723.3</v>
      </c>
      <c r="G16" s="53">
        <f>'DOE25'!K209+'DOE25'!K227+'DOE25'!K245</f>
        <v>3179.81</v>
      </c>
      <c r="H16" s="250"/>
    </row>
    <row r="17" spans="1:8" x14ac:dyDescent="0.2">
      <c r="A17" s="32">
        <v>1600</v>
      </c>
      <c r="B17" t="s">
        <v>806</v>
      </c>
      <c r="C17" s="238">
        <f t="shared" si="0"/>
        <v>0</v>
      </c>
      <c r="D17" s="20">
        <f>'DOE25'!L251-F17-G17</f>
        <v>0</v>
      </c>
      <c r="E17" s="236"/>
      <c r="F17" s="246">
        <f>'DOE25'!J251</f>
        <v>0</v>
      </c>
      <c r="G17" s="53">
        <f>'DOE25'!K251</f>
        <v>0</v>
      </c>
      <c r="H17" s="250"/>
    </row>
    <row r="18" spans="1:8" x14ac:dyDescent="0.2">
      <c r="A18" s="32">
        <v>1700</v>
      </c>
      <c r="B18" t="s">
        <v>807</v>
      </c>
      <c r="C18" s="238">
        <f t="shared" si="0"/>
        <v>0</v>
      </c>
      <c r="D18" s="20">
        <f>'DOE25'!L252-F18-G18</f>
        <v>0</v>
      </c>
      <c r="E18" s="236"/>
      <c r="F18" s="246">
        <f>'DOE25'!J252</f>
        <v>0</v>
      </c>
      <c r="G18" s="53">
        <f>'DOE25'!K252</f>
        <v>0</v>
      </c>
      <c r="H18" s="250"/>
    </row>
    <row r="19" spans="1:8" x14ac:dyDescent="0.2">
      <c r="A19" s="32">
        <v>1800</v>
      </c>
      <c r="B19" t="s">
        <v>808</v>
      </c>
      <c r="C19" s="238">
        <f t="shared" si="0"/>
        <v>0</v>
      </c>
      <c r="D19" s="20">
        <f>'DOE25'!L253-F19-G19</f>
        <v>0</v>
      </c>
      <c r="E19" s="236"/>
      <c r="F19" s="246">
        <f>'DOE25'!J253</f>
        <v>0</v>
      </c>
      <c r="G19" s="53">
        <f>'DOE25'!K253</f>
        <v>0</v>
      </c>
      <c r="H19" s="250"/>
    </row>
    <row r="20" spans="1:8" x14ac:dyDescent="0.2">
      <c r="F20" s="251"/>
      <c r="G20" s="52"/>
      <c r="H20" s="252"/>
    </row>
    <row r="21" spans="1:8" x14ac:dyDescent="0.2">
      <c r="B21" s="33" t="s">
        <v>796</v>
      </c>
      <c r="F21" s="251"/>
      <c r="G21" s="52"/>
      <c r="H21" s="252"/>
    </row>
    <row r="22" spans="1:8" x14ac:dyDescent="0.2">
      <c r="A22" s="32">
        <v>4000</v>
      </c>
      <c r="B22" t="s">
        <v>833</v>
      </c>
      <c r="C22" s="238">
        <f>SUM(D22:H22)</f>
        <v>0</v>
      </c>
      <c r="D22" s="236"/>
      <c r="E22" s="236"/>
      <c r="F22" s="246">
        <f>'DOE25'!L255+'DOE25'!L336</f>
        <v>0</v>
      </c>
      <c r="G22" s="247"/>
      <c r="H22" s="250"/>
    </row>
    <row r="23" spans="1:8" x14ac:dyDescent="0.2">
      <c r="A23" s="32"/>
      <c r="F23" s="251"/>
      <c r="G23" s="52"/>
      <c r="H23" s="252"/>
    </row>
    <row r="24" spans="1:8" x14ac:dyDescent="0.2">
      <c r="A24" s="32"/>
      <c r="B24" s="33" t="s">
        <v>464</v>
      </c>
      <c r="F24" s="251"/>
      <c r="G24" s="52"/>
      <c r="H24" s="252"/>
    </row>
    <row r="25" spans="1:8" x14ac:dyDescent="0.2">
      <c r="A25" s="32" t="s">
        <v>809</v>
      </c>
      <c r="B25" t="s">
        <v>810</v>
      </c>
      <c r="C25" s="238">
        <f>SUM(D25:H25)</f>
        <v>812583</v>
      </c>
      <c r="D25" s="236"/>
      <c r="E25" s="236"/>
      <c r="F25" s="249"/>
      <c r="G25" s="247"/>
      <c r="H25" s="248">
        <f>'DOE25'!L260+'DOE25'!L261+'DOE25'!L341+'DOE25'!L342</f>
        <v>812583</v>
      </c>
    </row>
    <row r="26" spans="1:8" x14ac:dyDescent="0.2">
      <c r="A26" s="32"/>
      <c r="F26" s="251"/>
      <c r="G26" s="52"/>
      <c r="H26" s="252"/>
    </row>
    <row r="27" spans="1:8" x14ac:dyDescent="0.2">
      <c r="A27" s="32"/>
      <c r="B27" s="33" t="s">
        <v>812</v>
      </c>
      <c r="F27" s="251"/>
      <c r="G27" s="52"/>
      <c r="H27" s="252"/>
    </row>
    <row r="28" spans="1:8" x14ac:dyDescent="0.2">
      <c r="A28" s="32">
        <v>3100</v>
      </c>
      <c r="B28" t="s">
        <v>825</v>
      </c>
      <c r="F28" s="251"/>
      <c r="G28" s="52"/>
      <c r="H28" s="252"/>
    </row>
    <row r="29" spans="1:8" x14ac:dyDescent="0.2">
      <c r="A29" s="32"/>
      <c r="B29" t="s">
        <v>813</v>
      </c>
      <c r="C29" s="238">
        <f>SUM(D29:H29)</f>
        <v>294781.75</v>
      </c>
      <c r="D29" s="20">
        <f>'DOE25'!L358+'DOE25'!L359+'DOE25'!L360-'DOE25'!I367-F29-G29</f>
        <v>294781.75</v>
      </c>
      <c r="E29" s="236"/>
      <c r="F29" s="246">
        <f>'DOE25'!J358+'DOE25'!J359+'DOE25'!J360</f>
        <v>0</v>
      </c>
      <c r="G29" s="53">
        <f>'DOE25'!K358+'DOE25'!K359+'DOE25'!K360</f>
        <v>0</v>
      </c>
      <c r="H29" s="250"/>
    </row>
    <row r="30" spans="1:8" x14ac:dyDescent="0.2">
      <c r="A30" s="32"/>
      <c r="D30" s="20"/>
      <c r="E30" s="236"/>
      <c r="F30" s="246"/>
      <c r="G30" s="53"/>
      <c r="H30" s="250"/>
    </row>
    <row r="31" spans="1:8" x14ac:dyDescent="0.2">
      <c r="A31" s="32" t="s">
        <v>827</v>
      </c>
      <c r="B31" t="s">
        <v>826</v>
      </c>
      <c r="C31" s="238">
        <f>SUM(D31:H31)</f>
        <v>626021.09999999986</v>
      </c>
      <c r="D31" s="20">
        <f>'DOE25'!L290+'DOE25'!L309+'DOE25'!L328+'DOE25'!L333+'DOE25'!L334+'DOE25'!L335-F31-G31</f>
        <v>550973.69999999984</v>
      </c>
      <c r="E31" s="236"/>
      <c r="F31" s="246">
        <f>'DOE25'!J290+'DOE25'!J309+'DOE25'!J328+'DOE25'!J333+'DOE25'!J334+'DOE25'!J335</f>
        <v>61727.119999999995</v>
      </c>
      <c r="G31" s="53">
        <f>'DOE25'!K290+'DOE25'!K309+'DOE25'!K328+'DOE25'!K333+'DOE25'!K334+'DOE25'!K335</f>
        <v>13320.28</v>
      </c>
      <c r="H31" s="250"/>
    </row>
    <row r="32" spans="1:8" ht="12" thickBot="1" x14ac:dyDescent="0.25">
      <c r="F32" s="253"/>
      <c r="G32" s="244"/>
      <c r="H32" s="254"/>
    </row>
    <row r="33" spans="2:8" ht="12" thickTop="1" x14ac:dyDescent="0.2">
      <c r="B33" t="s">
        <v>814</v>
      </c>
      <c r="D33" s="239">
        <f>SUM(D5:D31)</f>
        <v>13927584.68</v>
      </c>
      <c r="E33" s="239">
        <f>SUM(E5:E31)</f>
        <v>545668.50000000023</v>
      </c>
      <c r="F33" s="239">
        <f>SUM(F5:F31)</f>
        <v>275553.89</v>
      </c>
      <c r="G33" s="239">
        <f>SUM(G5:G31)</f>
        <v>122064.91</v>
      </c>
      <c r="H33" s="239">
        <f>SUM(H5:H31)</f>
        <v>812583</v>
      </c>
    </row>
    <row r="35" spans="2:8" ht="12" thickBot="1" x14ac:dyDescent="0.25">
      <c r="B35" s="244" t="s">
        <v>847</v>
      </c>
      <c r="D35" s="245">
        <f>E33</f>
        <v>545668.50000000023</v>
      </c>
      <c r="E35" s="240"/>
    </row>
    <row r="36" spans="2:8" ht="12" thickTop="1" x14ac:dyDescent="0.2">
      <c r="B36" t="s">
        <v>815</v>
      </c>
      <c r="D36" s="20">
        <f>D33</f>
        <v>13927584.68</v>
      </c>
    </row>
    <row r="38" spans="2:8" x14ac:dyDescent="0.2">
      <c r="B38" s="181" t="s">
        <v>905</v>
      </c>
      <c r="C38" s="257"/>
      <c r="D38" s="258"/>
    </row>
    <row r="39" spans="2:8" x14ac:dyDescent="0.2">
      <c r="B39" t="s">
        <v>824</v>
      </c>
      <c r="D39" s="175" t="str">
        <f>IF(E10&gt;0,"Y","N")</f>
        <v>Y</v>
      </c>
    </row>
    <row r="41" spans="2:8" x14ac:dyDescent="0.2">
      <c r="B41" s="25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8" sqref="C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LITTLETON SCHOOL DISTRICT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666884.5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796482.53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375571.04</v>
      </c>
      <c r="D11" s="94">
        <f>'DOE25'!G12</f>
        <v>-7962.74</v>
      </c>
      <c r="E11" s="94">
        <f>'DOE25'!H12</f>
        <v>-185673.59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35127.64</v>
      </c>
      <c r="D12" s="94">
        <f>'DOE25'!G13</f>
        <v>34734.230000000003</v>
      </c>
      <c r="E12" s="94">
        <f>'DOE25'!H13</f>
        <v>178404.31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217935.12</v>
      </c>
      <c r="D13" s="94">
        <f>'DOE25'!G14</f>
        <v>0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1295518.2999999998</v>
      </c>
      <c r="D18" s="41">
        <f>SUM(D8:D17)</f>
        <v>26771.490000000005</v>
      </c>
      <c r="E18" s="41">
        <f>SUM(E8:E17)</f>
        <v>-7269.2799999999988</v>
      </c>
      <c r="F18" s="41">
        <f>SUM(F8:F17)</f>
        <v>0</v>
      </c>
      <c r="G18" s="41">
        <f>SUM(G8:G17)</f>
        <v>796482.53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151809.32</v>
      </c>
      <c r="D21" s="94">
        <f>'DOE25'!G22</f>
        <v>0</v>
      </c>
      <c r="E21" s="94">
        <f>'DOE25'!H22</f>
        <v>0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21884.77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52899.22</v>
      </c>
      <c r="D28" s="94">
        <f>'DOE25'!G29</f>
        <v>21736.19</v>
      </c>
      <c r="E28" s="94">
        <f>'DOE25'!H29</f>
        <v>-7269.28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3291.97</v>
      </c>
      <c r="D29" s="94">
        <f>'DOE25'!G30</f>
        <v>5035.3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229885.28</v>
      </c>
      <c r="D31" s="41">
        <f>SUM(D21:D30)</f>
        <v>26771.489999999998</v>
      </c>
      <c r="E31" s="41">
        <f>SUM(E21:E30)</f>
        <v>-7269.28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2337.17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80000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896</v>
      </c>
      <c r="B45" s="6"/>
      <c r="C45" s="94">
        <f>'DOE25'!F46</f>
        <v>249664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897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796482.53</v>
      </c>
      <c r="H47" s="123"/>
      <c r="I47" s="123"/>
    </row>
    <row r="48" spans="1:9" x14ac:dyDescent="0.2">
      <c r="A48" s="1" t="s">
        <v>898</v>
      </c>
      <c r="B48" s="6">
        <v>753</v>
      </c>
      <c r="C48" s="94">
        <f>'DOE25'!F49</f>
        <v>187866.19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899</v>
      </c>
      <c r="B49" s="70">
        <v>770</v>
      </c>
      <c r="C49" s="94">
        <f>'DOE25'!F50</f>
        <v>545765.66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900</v>
      </c>
      <c r="B50" s="48"/>
      <c r="C50" s="41">
        <f>SUM(C34:C49)</f>
        <v>1065633.02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796482.53</v>
      </c>
      <c r="H50" s="123"/>
      <c r="I50" s="123"/>
    </row>
    <row r="51" spans="1:9" ht="12" thickTop="1" x14ac:dyDescent="0.2">
      <c r="A51" s="38" t="s">
        <v>901</v>
      </c>
      <c r="B51" s="2"/>
      <c r="C51" s="41">
        <f>C50+C31</f>
        <v>1295518.3</v>
      </c>
      <c r="D51" s="41">
        <f>D50+D31</f>
        <v>26771.489999999998</v>
      </c>
      <c r="E51" s="41">
        <f>E50+E31</f>
        <v>-7269.28</v>
      </c>
      <c r="F51" s="41">
        <f>F50+F31</f>
        <v>0</v>
      </c>
      <c r="G51" s="41">
        <f>G50+G31</f>
        <v>796482.53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8728736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216698.85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4372.18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2057.4899999999998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124051.82999999999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246115.99</v>
      </c>
      <c r="D61" s="94">
        <f>SUM('DOE25'!G98:G110)</f>
        <v>24555.83</v>
      </c>
      <c r="E61" s="94">
        <f>SUM('DOE25'!H98:H110)</f>
        <v>0</v>
      </c>
      <c r="F61" s="94">
        <f>SUM('DOE25'!I98:I110)</f>
        <v>0</v>
      </c>
      <c r="G61" s="94">
        <f>SUM('DOE25'!J98:J110)</f>
        <v>12482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467187.02</v>
      </c>
      <c r="D62" s="129">
        <f>SUM(D57:D61)</f>
        <v>148607.65999999997</v>
      </c>
      <c r="E62" s="129">
        <f>SUM(E57:E61)</f>
        <v>0</v>
      </c>
      <c r="F62" s="129">
        <f>SUM(F57:F61)</f>
        <v>0</v>
      </c>
      <c r="G62" s="129">
        <f>SUM(G57:G61)</f>
        <v>14539.49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9195923.0199999996</v>
      </c>
      <c r="D63" s="22">
        <f>D56+D62</f>
        <v>148607.65999999997</v>
      </c>
      <c r="E63" s="22">
        <f>E56+E62</f>
        <v>0</v>
      </c>
      <c r="F63" s="22">
        <f>F56+F62</f>
        <v>0</v>
      </c>
      <c r="G63" s="22">
        <f>G56+G62</f>
        <v>14539.49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3541924.43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1257813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319.94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4800057.37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220141.2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254218.44999999998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3832.6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474359.65</v>
      </c>
      <c r="D78" s="129">
        <f>SUM(D72:D77)</f>
        <v>3832.6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5274417.0200000005</v>
      </c>
      <c r="D81" s="129">
        <f>SUM(D79:D80)+D78+D70</f>
        <v>3832.6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149781.63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0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146744.78</v>
      </c>
      <c r="D88" s="94">
        <f>SUM('DOE25'!G153:G161)</f>
        <v>212516.73</v>
      </c>
      <c r="E88" s="94">
        <f>SUM('DOE25'!H153:H161)</f>
        <v>636322.79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1618.63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298145.04000000004</v>
      </c>
      <c r="D91" s="130">
        <f>SUM(D85:D90)</f>
        <v>212516.73</v>
      </c>
      <c r="E91" s="130">
        <f>SUM(E85:E90)</f>
        <v>636322.79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68241.95</v>
      </c>
      <c r="E96" s="94">
        <f>'DOE25'!H179</f>
        <v>0</v>
      </c>
      <c r="F96" s="94">
        <f>'DOE25'!I179</f>
        <v>57586.5</v>
      </c>
      <c r="G96" s="94">
        <f>'DOE25'!J179</f>
        <v>90000</v>
      </c>
    </row>
    <row r="97" spans="1:7" x14ac:dyDescent="0.2">
      <c r="A97" t="s">
        <v>758</v>
      </c>
      <c r="B97" s="32" t="s">
        <v>188</v>
      </c>
      <c r="C97" s="94">
        <f>SUM('DOE25'!F180:F181)</f>
        <v>10301.69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10301.69</v>
      </c>
      <c r="D103" s="85">
        <f>SUM(D93:D102)</f>
        <v>68241.95</v>
      </c>
      <c r="E103" s="85">
        <f>SUM(E93:E102)</f>
        <v>0</v>
      </c>
      <c r="F103" s="85">
        <f>SUM(F93:F102)</f>
        <v>57586.5</v>
      </c>
      <c r="G103" s="85">
        <f>SUM(G93:G102)</f>
        <v>90000</v>
      </c>
    </row>
    <row r="104" spans="1:7" ht="12.75" thickTop="1" thickBot="1" x14ac:dyDescent="0.25">
      <c r="A104" s="33" t="s">
        <v>765</v>
      </c>
      <c r="C104" s="85">
        <f>C63+C81+C91+C103</f>
        <v>14778786.769999998</v>
      </c>
      <c r="D104" s="85">
        <f>D63+D81+D91+D103</f>
        <v>433198.94</v>
      </c>
      <c r="E104" s="85">
        <f>E63+E81+E91+E103</f>
        <v>636322.79</v>
      </c>
      <c r="F104" s="85">
        <f>F63+F81+F91+F103</f>
        <v>57586.5</v>
      </c>
      <c r="G104" s="85">
        <f>G63+G81+G103</f>
        <v>104539.49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5063999.34</v>
      </c>
      <c r="D109" s="24" t="s">
        <v>289</v>
      </c>
      <c r="E109" s="94">
        <f>('DOE25'!L276)+('DOE25'!L295)+('DOE25'!L314)</f>
        <v>289910.04999999993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2368161.9499999997</v>
      </c>
      <c r="D110" s="24" t="s">
        <v>289</v>
      </c>
      <c r="E110" s="94">
        <f>('DOE25'!L277)+('DOE25'!L296)+('DOE25'!L315)</f>
        <v>172107.31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1064743.02</v>
      </c>
      <c r="D111" s="24" t="s">
        <v>289</v>
      </c>
      <c r="E111" s="94">
        <f>('DOE25'!L278)+('DOE25'!L297)+('DOE25'!L316)</f>
        <v>74924.699999999983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214628.25</v>
      </c>
      <c r="D112" s="24" t="s">
        <v>289</v>
      </c>
      <c r="E112" s="94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289</v>
      </c>
      <c r="E114" s="94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8711532.5599999987</v>
      </c>
      <c r="D115" s="85">
        <f>SUM(D109:D114)</f>
        <v>0</v>
      </c>
      <c r="E115" s="85">
        <f>SUM(E109:E114)</f>
        <v>536942.05999999994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1075092.48</v>
      </c>
      <c r="D118" s="24" t="s">
        <v>289</v>
      </c>
      <c r="E118" s="94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460251.28</v>
      </c>
      <c r="D119" s="24" t="s">
        <v>289</v>
      </c>
      <c r="E119" s="94">
        <f>+('DOE25'!L282)+('DOE25'!L301)+('DOE25'!L320)</f>
        <v>80231.709999999992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623228.34</v>
      </c>
      <c r="D120" s="24" t="s">
        <v>289</v>
      </c>
      <c r="E120" s="94">
        <f>+('DOE25'!L283)+('DOE25'!L302)+('DOE25'!L321)</f>
        <v>8847.33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845862.26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181237.65999999997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1199354.6499999999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394555.27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442030.63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433807.41000000003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5221612.5699999994</v>
      </c>
      <c r="D128" s="85">
        <f>SUM(D118:D127)</f>
        <v>433807.41000000003</v>
      </c>
      <c r="E128" s="85">
        <f>SUM(E118:E127)</f>
        <v>89079.039999999994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289</v>
      </c>
      <c r="E130" s="128">
        <f>'DOE25'!L336</f>
        <v>0</v>
      </c>
      <c r="F130" s="128">
        <f>SUM('DOE25'!L374:'DOE25'!L380)</f>
        <v>77912.62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560000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252583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10301.69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68241.95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57586.5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104539.49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-14539.490000000005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1028411.45</v>
      </c>
      <c r="D144" s="140">
        <f>SUM(D130:D143)</f>
        <v>0</v>
      </c>
      <c r="E144" s="140">
        <f>SUM(E130:E143)</f>
        <v>10301.69</v>
      </c>
      <c r="F144" s="140">
        <f>SUM(F130:F143)</f>
        <v>77912.62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14961556.579999998</v>
      </c>
      <c r="D145" s="85">
        <f>(D115+D128+D144)</f>
        <v>433807.41000000003</v>
      </c>
      <c r="E145" s="85">
        <f>(E115+E128+E144)</f>
        <v>636322.78999999992</v>
      </c>
      <c r="F145" s="85">
        <f>(F115+F128+F144)</f>
        <v>77912.62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0">
        <f>'DOE25'!F490</f>
        <v>20</v>
      </c>
      <c r="C151" s="150">
        <f>'DOE25'!G490</f>
        <v>17</v>
      </c>
      <c r="D151" s="150">
        <f>'DOE25'!H490</f>
        <v>0</v>
      </c>
      <c r="E151" s="150">
        <f>'DOE25'!I490</f>
        <v>0</v>
      </c>
      <c r="F151" s="150">
        <f>'DOE25'!J490</f>
        <v>0</v>
      </c>
      <c r="G151" s="24" t="s">
        <v>289</v>
      </c>
    </row>
    <row r="152" spans="1:9" x14ac:dyDescent="0.2">
      <c r="A152" s="135" t="s">
        <v>28</v>
      </c>
      <c r="B152" s="149" t="str">
        <f>'DOE25'!F491</f>
        <v>08/02</v>
      </c>
      <c r="C152" s="149" t="str">
        <f>'DOE25'!G491</f>
        <v>06/10</v>
      </c>
      <c r="D152" s="149">
        <f>'DOE25'!H491</f>
        <v>0</v>
      </c>
      <c r="E152" s="149">
        <f>'DOE25'!I491</f>
        <v>0</v>
      </c>
      <c r="F152" s="149">
        <f>'DOE25'!J491</f>
        <v>0</v>
      </c>
      <c r="G152" s="24" t="s">
        <v>289</v>
      </c>
    </row>
    <row r="153" spans="1:9" x14ac:dyDescent="0.2">
      <c r="A153" s="135" t="s">
        <v>29</v>
      </c>
      <c r="B153" s="149" t="str">
        <f>'DOE25'!F492</f>
        <v>08/22</v>
      </c>
      <c r="C153" s="149" t="str">
        <f>'DOE25'!G492</f>
        <v>03/27</v>
      </c>
      <c r="D153" s="149">
        <f>'DOE25'!H492</f>
        <v>0</v>
      </c>
      <c r="E153" s="149">
        <f>'DOE25'!I492</f>
        <v>0</v>
      </c>
      <c r="F153" s="149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6000000</v>
      </c>
      <c r="C154" s="136">
        <f>'DOE25'!G493</f>
        <v>4160640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135" t="s">
        <v>31</v>
      </c>
      <c r="B155" s="136">
        <f>'DOE25'!F494</f>
        <v>3.9</v>
      </c>
      <c r="C155" s="136">
        <f>'DOE25'!G494</f>
        <v>5.39</v>
      </c>
      <c r="D155" s="136" t="str">
        <f>'DOE25'!H494</f>
        <v>before Fed reimbursement</v>
      </c>
      <c r="E155" s="136">
        <f>'DOE25'!I494</f>
        <v>0</v>
      </c>
      <c r="F155" s="136">
        <f>'DOE25'!J494</f>
        <v>0</v>
      </c>
      <c r="G155" s="24" t="s">
        <v>289</v>
      </c>
    </row>
    <row r="156" spans="1:9" x14ac:dyDescent="0.2">
      <c r="A156" s="22" t="s">
        <v>32</v>
      </c>
      <c r="B156" s="136">
        <f>'DOE25'!F495</f>
        <v>2400000</v>
      </c>
      <c r="C156" s="136">
        <f>'DOE25'!G495</f>
        <v>3120000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5520000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300000</v>
      </c>
      <c r="C158" s="136">
        <f>'DOE25'!G497</f>
        <v>260000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560000</v>
      </c>
    </row>
    <row r="159" spans="1:9" x14ac:dyDescent="0.2">
      <c r="A159" s="22" t="s">
        <v>35</v>
      </c>
      <c r="B159" s="136">
        <f>'DOE25'!F498</f>
        <v>2100000</v>
      </c>
      <c r="C159" s="136">
        <f>'DOE25'!G498</f>
        <v>2860000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4960000</v>
      </c>
    </row>
    <row r="160" spans="1:9" x14ac:dyDescent="0.2">
      <c r="A160" s="22" t="s">
        <v>36</v>
      </c>
      <c r="B160" s="136">
        <f>'DOE25'!F499</f>
        <v>230019</v>
      </c>
      <c r="C160" s="136">
        <f>'DOE25'!G499</f>
        <v>847847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1077866</v>
      </c>
    </row>
    <row r="161" spans="1:7" x14ac:dyDescent="0.2">
      <c r="A161" s="22" t="s">
        <v>37</v>
      </c>
      <c r="B161" s="136">
        <f>'DOE25'!F500</f>
        <v>2330019</v>
      </c>
      <c r="C161" s="136">
        <f>'DOE25'!G500</f>
        <v>3707847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6037866</v>
      </c>
    </row>
    <row r="162" spans="1:7" x14ac:dyDescent="0.2">
      <c r="A162" s="22" t="s">
        <v>38</v>
      </c>
      <c r="B162" s="136">
        <f>'DOE25'!F501</f>
        <v>300000</v>
      </c>
      <c r="C162" s="136">
        <f>'DOE25'!G501</f>
        <v>260000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560000</v>
      </c>
    </row>
    <row r="163" spans="1:7" x14ac:dyDescent="0.2">
      <c r="A163" s="22" t="s">
        <v>39</v>
      </c>
      <c r="B163" s="136">
        <f>'DOE25'!F502</f>
        <v>78972</v>
      </c>
      <c r="C163" s="136">
        <f>'DOE25'!G502</f>
        <v>147147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226119</v>
      </c>
    </row>
    <row r="164" spans="1:7" x14ac:dyDescent="0.2">
      <c r="A164" s="22" t="s">
        <v>246</v>
      </c>
      <c r="B164" s="136">
        <f>'DOE25'!F503</f>
        <v>378972</v>
      </c>
      <c r="C164" s="136">
        <f>'DOE25'!G503</f>
        <v>407147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786119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7" t="s">
        <v>740</v>
      </c>
      <c r="B1" s="277"/>
      <c r="C1" s="277"/>
      <c r="D1" s="277"/>
    </row>
    <row r="2" spans="1:4" x14ac:dyDescent="0.2">
      <c r="A2" s="181" t="s">
        <v>717</v>
      </c>
      <c r="B2" s="180" t="str">
        <f>'DOE25'!A2</f>
        <v>LITTLETON SCHOOL DISTRICT</v>
      </c>
    </row>
    <row r="3" spans="1:4" x14ac:dyDescent="0.2">
      <c r="B3" s="182" t="s">
        <v>902</v>
      </c>
    </row>
    <row r="4" spans="1:4" x14ac:dyDescent="0.2">
      <c r="B4" t="s">
        <v>61</v>
      </c>
      <c r="C4" s="173">
        <f>IF('DOE25'!F665+'DOE25'!F670=0,0,ROUND('DOE25'!F672,0))</f>
        <v>18051</v>
      </c>
    </row>
    <row r="5" spans="1:4" x14ac:dyDescent="0.2">
      <c r="B5" t="s">
        <v>704</v>
      </c>
      <c r="C5" s="173">
        <f>IF('DOE25'!G665+'DOE25'!G670=0,0,ROUND('DOE25'!G672,0))</f>
        <v>13995</v>
      </c>
    </row>
    <row r="6" spans="1:4" x14ac:dyDescent="0.2">
      <c r="B6" t="s">
        <v>62</v>
      </c>
      <c r="C6" s="173">
        <f>IF('DOE25'!H665+'DOE25'!H670=0,0,ROUND('DOE25'!H672,0))</f>
        <v>23106</v>
      </c>
    </row>
    <row r="7" spans="1:4" x14ac:dyDescent="0.2">
      <c r="B7" t="s">
        <v>705</v>
      </c>
      <c r="C7" s="173">
        <f>IF('DOE25'!I665+'DOE25'!I670=0,0,ROUND('DOE25'!I672,0))</f>
        <v>19038</v>
      </c>
    </row>
    <row r="9" spans="1:4" x14ac:dyDescent="0.2">
      <c r="A9" s="181" t="s">
        <v>94</v>
      </c>
      <c r="B9" s="182" t="s">
        <v>903</v>
      </c>
      <c r="C9" s="175" t="s">
        <v>724</v>
      </c>
      <c r="D9" s="175" t="s">
        <v>725</v>
      </c>
    </row>
    <row r="10" spans="1:4" x14ac:dyDescent="0.2">
      <c r="A10">
        <v>1100</v>
      </c>
      <c r="B10" t="s">
        <v>706</v>
      </c>
      <c r="C10" s="173">
        <f>ROUND('DOE25'!L197+'DOE25'!L215+'DOE25'!L233+'DOE25'!L276+'DOE25'!L295+'DOE25'!L314,0)</f>
        <v>5353909</v>
      </c>
      <c r="D10" s="176">
        <f>ROUND((C10/$C$28)*100,1)</f>
        <v>35.5</v>
      </c>
    </row>
    <row r="11" spans="1:4" x14ac:dyDescent="0.2">
      <c r="A11">
        <v>1200</v>
      </c>
      <c r="B11" t="s">
        <v>707</v>
      </c>
      <c r="C11" s="173">
        <f>ROUND('DOE25'!L198+'DOE25'!L216+'DOE25'!L234+'DOE25'!L277+'DOE25'!L296+'DOE25'!L315,0)</f>
        <v>2540269</v>
      </c>
      <c r="D11" s="176">
        <f>ROUND((C11/$C$28)*100,1)</f>
        <v>16.8</v>
      </c>
    </row>
    <row r="12" spans="1:4" x14ac:dyDescent="0.2">
      <c r="A12">
        <v>1300</v>
      </c>
      <c r="B12" t="s">
        <v>708</v>
      </c>
      <c r="C12" s="173">
        <f>ROUND('DOE25'!L199+'DOE25'!L217+'DOE25'!L235+'DOE25'!L278+'DOE25'!L297+'DOE25'!L316,0)</f>
        <v>1139668</v>
      </c>
      <c r="D12" s="176">
        <f>ROUND((C12/$C$28)*100,1)</f>
        <v>7.5</v>
      </c>
    </row>
    <row r="13" spans="1:4" x14ac:dyDescent="0.2">
      <c r="A13">
        <v>1400</v>
      </c>
      <c r="B13" t="s">
        <v>709</v>
      </c>
      <c r="C13" s="173">
        <f>ROUND('DOE25'!L200+'DOE25'!L218+'DOE25'!L236+'DOE25'!L279+'DOE25'!L298+'DOE25'!L317,0)</f>
        <v>214628</v>
      </c>
      <c r="D13" s="176">
        <f>ROUND((C13/$C$28)*100,1)</f>
        <v>1.4</v>
      </c>
    </row>
    <row r="14" spans="1:4" x14ac:dyDescent="0.2">
      <c r="D14" s="176"/>
    </row>
    <row r="15" spans="1:4" x14ac:dyDescent="0.2">
      <c r="A15">
        <v>2100</v>
      </c>
      <c r="B15" t="s">
        <v>710</v>
      </c>
      <c r="C15" s="173">
        <f>ROUND('DOE25'!L202+'DOE25'!L220+'DOE25'!L238+'DOE25'!L281+'DOE25'!L300+'DOE25'!L319,0)</f>
        <v>1075092</v>
      </c>
      <c r="D15" s="176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3">
        <f>ROUND('DOE25'!L203+'DOE25'!L221+'DOE25'!L239+'DOE25'!L282+'DOE25'!L301+'DOE25'!L320,0)</f>
        <v>540483</v>
      </c>
      <c r="D16" s="176">
        <f t="shared" si="0"/>
        <v>3.6</v>
      </c>
    </row>
    <row r="17" spans="1:4" x14ac:dyDescent="0.2">
      <c r="A17" s="177" t="s">
        <v>727</v>
      </c>
      <c r="B17" t="s">
        <v>742</v>
      </c>
      <c r="C17" s="173">
        <f>ROUND('DOE25'!L204+'DOE25'!L209+'DOE25'!L222+'DOE25'!L227+'DOE25'!L240+'DOE25'!L245+'DOE25'!L283+'DOE25'!L288+'DOE25'!L302+'DOE25'!L307+'DOE25'!L321+'DOE25'!L326,0)</f>
        <v>1074106</v>
      </c>
      <c r="D17" s="176">
        <f t="shared" si="0"/>
        <v>7.1</v>
      </c>
    </row>
    <row r="18" spans="1:4" x14ac:dyDescent="0.2">
      <c r="A18">
        <v>2400</v>
      </c>
      <c r="B18" t="s">
        <v>715</v>
      </c>
      <c r="C18" s="173">
        <f>ROUND('DOE25'!L205+'DOE25'!L223+'DOE25'!L241+'DOE25'!L284+'DOE25'!L303+'DOE25'!L322,0)</f>
        <v>845862</v>
      </c>
      <c r="D18" s="176">
        <f t="shared" si="0"/>
        <v>5.6</v>
      </c>
    </row>
    <row r="19" spans="1:4" x14ac:dyDescent="0.2">
      <c r="A19">
        <v>2500</v>
      </c>
      <c r="B19" t="s">
        <v>712</v>
      </c>
      <c r="C19" s="173">
        <f>ROUND('DOE25'!L206+'DOE25'!L224+'DOE25'!L242+'DOE25'!L285+'DOE25'!L304+'DOE25'!L323,0)</f>
        <v>181238</v>
      </c>
      <c r="D19" s="176">
        <f t="shared" si="0"/>
        <v>1.2</v>
      </c>
    </row>
    <row r="20" spans="1:4" x14ac:dyDescent="0.2">
      <c r="A20">
        <v>2600</v>
      </c>
      <c r="B20" t="s">
        <v>713</v>
      </c>
      <c r="C20" s="173">
        <f>ROUND('DOE25'!L207+'DOE25'!L225+'DOE25'!L243+'DOE25'!L286+'DOE25'!L305+'DOE25'!L324,0)</f>
        <v>1199355</v>
      </c>
      <c r="D20" s="176">
        <f t="shared" si="0"/>
        <v>7.9</v>
      </c>
    </row>
    <row r="21" spans="1:4" x14ac:dyDescent="0.2">
      <c r="A21">
        <v>2700</v>
      </c>
      <c r="B21" t="s">
        <v>714</v>
      </c>
      <c r="C21" s="173">
        <f>ROUND('DOE25'!L208+'DOE25'!L226+'DOE25'!L244+'DOE25'!L287+'DOE25'!L306+'DOE25'!L325,0)</f>
        <v>394555</v>
      </c>
      <c r="D21" s="176">
        <f t="shared" si="0"/>
        <v>2.6</v>
      </c>
    </row>
    <row r="22" spans="1:4" x14ac:dyDescent="0.2">
      <c r="A22">
        <v>2900</v>
      </c>
      <c r="B22" t="s">
        <v>716</v>
      </c>
      <c r="C22" s="173">
        <v>0</v>
      </c>
      <c r="D22" s="176">
        <f t="shared" si="0"/>
        <v>0</v>
      </c>
    </row>
    <row r="23" spans="1:4" x14ac:dyDescent="0.2">
      <c r="A23">
        <v>1500</v>
      </c>
      <c r="B23" t="s">
        <v>718</v>
      </c>
      <c r="C23" s="173">
        <f>ROUND('DOE25'!L250+'DOE25'!L332,0)</f>
        <v>0</v>
      </c>
      <c r="D23" s="176">
        <f t="shared" si="0"/>
        <v>0</v>
      </c>
    </row>
    <row r="24" spans="1:4" x14ac:dyDescent="0.2">
      <c r="A24" s="177" t="s">
        <v>726</v>
      </c>
      <c r="B24" t="s">
        <v>719</v>
      </c>
      <c r="C24" s="173">
        <f>ROUND('DOE25'!L251+'DOE25'!L252+'DOE25'!L253+'DOE25'!L254+'DOE25'!L333+'DOE25'!L334+'DOE25'!L335,0)</f>
        <v>0</v>
      </c>
      <c r="D24" s="176">
        <f t="shared" si="0"/>
        <v>0</v>
      </c>
    </row>
    <row r="25" spans="1:4" x14ac:dyDescent="0.2">
      <c r="A25">
        <v>5120</v>
      </c>
      <c r="B25" t="s">
        <v>720</v>
      </c>
      <c r="C25" s="173">
        <f>ROUND('DOE25'!L261+'DOE25'!L342,0)</f>
        <v>252583</v>
      </c>
      <c r="D25" s="176">
        <f t="shared" si="0"/>
        <v>1.7</v>
      </c>
    </row>
    <row r="26" spans="1:4" x14ac:dyDescent="0.2">
      <c r="A26" s="177" t="s">
        <v>721</v>
      </c>
      <c r="B26" t="s">
        <v>722</v>
      </c>
      <c r="C26" s="173">
        <f>'DOE25'!L268+'DOE25'!L269+'DOE25'!L349+'DOE25'!L350</f>
        <v>0</v>
      </c>
      <c r="D26" s="176">
        <f t="shared" si="0"/>
        <v>0</v>
      </c>
    </row>
    <row r="27" spans="1:4" x14ac:dyDescent="0.2">
      <c r="A27">
        <v>3100</v>
      </c>
      <c r="B27" t="s">
        <v>11</v>
      </c>
      <c r="C27" s="173">
        <f>ROUND('DOE25'!L362-'DOE25'!L361,0)-SUM('DOE25'!G97:G110)</f>
        <v>285199.34000000003</v>
      </c>
      <c r="D27" s="176">
        <f t="shared" si="0"/>
        <v>1.9</v>
      </c>
    </row>
    <row r="28" spans="1:4" x14ac:dyDescent="0.2">
      <c r="B28" s="181" t="s">
        <v>723</v>
      </c>
      <c r="C28" s="174">
        <f>SUM(C10:C27)</f>
        <v>15096947.34</v>
      </c>
      <c r="D28" s="178">
        <f>ROUND(SUM(D10:D27),0)</f>
        <v>100</v>
      </c>
    </row>
    <row r="29" spans="1:4" x14ac:dyDescent="0.2">
      <c r="A29">
        <v>4000</v>
      </c>
      <c r="B29" t="s">
        <v>728</v>
      </c>
      <c r="C29" s="173">
        <f>ROUND('DOE25'!L255+'DOE25'!L336+'DOE25'!L374+'DOE25'!L375+'DOE25'!L376+'DOE25'!L377+'DOE25'!L378+'DOE25'!L379+'DOE25'!L380,0)</f>
        <v>77913</v>
      </c>
    </row>
    <row r="30" spans="1:4" x14ac:dyDescent="0.2">
      <c r="B30" s="181" t="s">
        <v>729</v>
      </c>
      <c r="C30" s="174">
        <f>SUM(C28:C29)</f>
        <v>15174860.34</v>
      </c>
    </row>
    <row r="31" spans="1:4" x14ac:dyDescent="0.2">
      <c r="B31" s="33"/>
      <c r="C31" s="174"/>
    </row>
    <row r="32" spans="1:4" x14ac:dyDescent="0.2">
      <c r="A32">
        <v>5100</v>
      </c>
      <c r="B32" s="33" t="s">
        <v>730</v>
      </c>
      <c r="C32" s="174">
        <f>ROUND('DOE25'!L260+'DOE25'!L341,0)</f>
        <v>560000</v>
      </c>
    </row>
    <row r="34" spans="1:4" x14ac:dyDescent="0.2">
      <c r="A34" s="181" t="s">
        <v>94</v>
      </c>
      <c r="B34" s="182" t="s">
        <v>904</v>
      </c>
      <c r="C34" s="175" t="s">
        <v>724</v>
      </c>
      <c r="D34" s="175" t="s">
        <v>725</v>
      </c>
    </row>
    <row r="35" spans="1:4" x14ac:dyDescent="0.2">
      <c r="A35">
        <v>1100</v>
      </c>
      <c r="B35" s="179" t="s">
        <v>731</v>
      </c>
      <c r="C35" s="173">
        <f>ROUND('DOE25'!F60+'DOE25'!G60+'DOE25'!H60+'DOE25'!I60+'DOE25'!J60,0)</f>
        <v>8728736</v>
      </c>
      <c r="D35" s="176">
        <f t="shared" ref="D35:D40" si="1">ROUND((C35/$C$41)*100,1)</f>
        <v>55.8</v>
      </c>
    </row>
    <row r="36" spans="1:4" x14ac:dyDescent="0.2">
      <c r="B36" s="179" t="s">
        <v>743</v>
      </c>
      <c r="C36" s="173">
        <f>SUM('DOE25'!F112:J112)-SUM('DOE25'!G97:G110)+('DOE25'!F174+'DOE25'!F175+'DOE25'!I174+'DOE25'!I175)-C35</f>
        <v>481726.50999999978</v>
      </c>
      <c r="D36" s="176">
        <f t="shared" si="1"/>
        <v>3.1</v>
      </c>
    </row>
    <row r="37" spans="1:4" x14ac:dyDescent="0.2">
      <c r="A37" s="177" t="s">
        <v>851</v>
      </c>
      <c r="B37" s="179" t="s">
        <v>732</v>
      </c>
      <c r="C37" s="173">
        <f>ROUND('DOE25'!F117+'DOE25'!F118,0)</f>
        <v>4799737</v>
      </c>
      <c r="D37" s="176">
        <f t="shared" si="1"/>
        <v>30.7</v>
      </c>
    </row>
    <row r="38" spans="1:4" x14ac:dyDescent="0.2">
      <c r="A38" s="177" t="s">
        <v>738</v>
      </c>
      <c r="B38" s="179" t="s">
        <v>733</v>
      </c>
      <c r="C38" s="173">
        <f>ROUND(SUM('DOE25'!F140:J140)-SUM('DOE25'!F117:F119),0)</f>
        <v>478512</v>
      </c>
      <c r="D38" s="176">
        <f t="shared" si="1"/>
        <v>3.1</v>
      </c>
    </row>
    <row r="39" spans="1:4" x14ac:dyDescent="0.2">
      <c r="A39">
        <v>4000</v>
      </c>
      <c r="B39" s="179" t="s">
        <v>734</v>
      </c>
      <c r="C39" s="173">
        <f>ROUND('DOE25'!F169+'DOE25'!G169+'DOE25'!H169+'DOE25'!I169,0)</f>
        <v>1146985</v>
      </c>
      <c r="D39" s="176">
        <f t="shared" si="1"/>
        <v>7.3</v>
      </c>
    </row>
    <row r="40" spans="1:4" x14ac:dyDescent="0.2">
      <c r="A40" s="177" t="s">
        <v>739</v>
      </c>
      <c r="B40" s="179" t="s">
        <v>735</v>
      </c>
      <c r="C40" s="173">
        <f>ROUND(SUM('DOE25'!F189:F191)+SUM('DOE25'!G189:G191)+SUM('DOE25'!H189:H191)+SUM('DOE25'!I189:I191),0)</f>
        <v>0</v>
      </c>
      <c r="D40" s="176">
        <f t="shared" si="1"/>
        <v>0</v>
      </c>
    </row>
    <row r="41" spans="1:4" x14ac:dyDescent="0.2">
      <c r="B41" s="181" t="s">
        <v>736</v>
      </c>
      <c r="C41" s="174">
        <f>SUM(C35:C40)</f>
        <v>15635696.51</v>
      </c>
      <c r="D41" s="178">
        <f>SUM(D35:D40)</f>
        <v>99.999999999999986</v>
      </c>
    </row>
    <row r="42" spans="1:4" x14ac:dyDescent="0.2">
      <c r="A42" s="177" t="s">
        <v>741</v>
      </c>
      <c r="B42" s="179" t="s">
        <v>737</v>
      </c>
      <c r="C42" s="173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zoomScale="160" zoomScaleNormal="160" workbookViewId="0">
      <pane ySplit="3" topLeftCell="A4" activePane="bottomLeft" state="frozen"/>
      <selection activeCell="F46" sqref="F46"/>
      <selection pane="bottomLeft" activeCell="A22" sqref="A2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06"/>
      <c r="K1" s="206"/>
      <c r="L1" s="206"/>
      <c r="M1" s="207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LITTLETON SCHOOL DISTRICT</v>
      </c>
      <c r="G2" s="295"/>
      <c r="H2" s="295"/>
      <c r="I2" s="295"/>
      <c r="J2" s="52"/>
      <c r="K2" s="52"/>
      <c r="L2" s="52"/>
      <c r="M2" s="208"/>
    </row>
    <row r="3" spans="1:26" x14ac:dyDescent="0.2">
      <c r="A3" s="209" t="s">
        <v>768</v>
      </c>
      <c r="B3" s="210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1"/>
      <c r="B4" s="212"/>
      <c r="C4" s="292" t="s">
        <v>918</v>
      </c>
      <c r="D4" s="292"/>
      <c r="E4" s="292"/>
      <c r="F4" s="292"/>
      <c r="G4" s="292"/>
      <c r="H4" s="292"/>
      <c r="I4" s="292"/>
      <c r="J4" s="292"/>
      <c r="K4" s="292"/>
      <c r="L4" s="292"/>
      <c r="M4" s="293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1"/>
      <c r="B5" s="212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1">
        <v>4</v>
      </c>
      <c r="B6" s="212">
        <v>1</v>
      </c>
      <c r="C6" s="279" t="s">
        <v>919</v>
      </c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1">
        <v>4</v>
      </c>
      <c r="B7" s="212">
        <v>4</v>
      </c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1"/>
      <c r="B8" s="212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1" t="s">
        <v>316</v>
      </c>
      <c r="B9" s="212">
        <v>24</v>
      </c>
      <c r="C9" s="279" t="s">
        <v>920</v>
      </c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1" t="s">
        <v>331</v>
      </c>
      <c r="B10" s="212">
        <v>8</v>
      </c>
      <c r="C10" s="298">
        <v>10301.69</v>
      </c>
      <c r="D10" s="299"/>
      <c r="E10" s="299"/>
      <c r="F10" s="299"/>
      <c r="G10" s="299"/>
      <c r="H10" s="299"/>
      <c r="I10" s="299"/>
      <c r="J10" s="299"/>
      <c r="K10" s="299"/>
      <c r="L10" s="299"/>
      <c r="M10" s="300"/>
      <c r="N10" s="266"/>
      <c r="O10" s="267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1"/>
      <c r="B11" s="212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1"/>
      <c r="B12" s="212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1"/>
      <c r="B13" s="212"/>
      <c r="C13" s="279" t="s">
        <v>921</v>
      </c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1" t="s">
        <v>290</v>
      </c>
      <c r="B14" s="212">
        <v>12</v>
      </c>
      <c r="C14" s="279" t="s">
        <v>922</v>
      </c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1">
        <v>1</v>
      </c>
      <c r="B15" s="212">
        <v>35</v>
      </c>
      <c r="C15" s="301" t="s">
        <v>923</v>
      </c>
      <c r="D15" s="301"/>
      <c r="E15" s="301"/>
      <c r="F15" s="301"/>
      <c r="G15" s="301"/>
      <c r="H15" s="301"/>
      <c r="I15" s="301"/>
      <c r="J15" s="301"/>
      <c r="K15" s="301"/>
      <c r="L15" s="301"/>
      <c r="M15" s="302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1" t="s">
        <v>382</v>
      </c>
      <c r="B16" s="212">
        <v>10</v>
      </c>
      <c r="C16" s="301"/>
      <c r="D16" s="301"/>
      <c r="E16" s="301"/>
      <c r="F16" s="301"/>
      <c r="G16" s="301"/>
      <c r="H16" s="301"/>
      <c r="I16" s="301"/>
      <c r="J16" s="301"/>
      <c r="K16" s="301"/>
      <c r="L16" s="301"/>
      <c r="M16" s="302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1"/>
      <c r="B17" s="268"/>
      <c r="C17" s="301"/>
      <c r="D17" s="301"/>
      <c r="E17" s="301"/>
      <c r="F17" s="301"/>
      <c r="G17" s="301"/>
      <c r="H17" s="301"/>
      <c r="I17" s="301"/>
      <c r="J17" s="301"/>
      <c r="K17" s="301"/>
      <c r="L17" s="301"/>
      <c r="M17" s="302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1">
        <v>19</v>
      </c>
      <c r="B18" s="268" t="s">
        <v>925</v>
      </c>
      <c r="C18" s="279" t="s">
        <v>924</v>
      </c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1"/>
      <c r="B19" s="212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1"/>
      <c r="B20" s="21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1"/>
      <c r="B21" s="212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1"/>
      <c r="B22" s="212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1"/>
      <c r="B23" s="212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1"/>
      <c r="B24" s="212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1"/>
      <c r="B25" s="212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1"/>
      <c r="B26" s="212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1"/>
      <c r="B27" s="212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1"/>
      <c r="B28" s="212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1"/>
      <c r="B29" s="212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04"/>
      <c r="O29" s="204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0"/>
      <c r="AB29" s="200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0"/>
      <c r="AO29" s="200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0"/>
      <c r="BB29" s="200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0"/>
      <c r="BO29" s="200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0"/>
      <c r="CB29" s="200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0"/>
      <c r="CO29" s="200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0"/>
      <c r="DB29" s="200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0"/>
      <c r="DO29" s="200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0"/>
      <c r="EB29" s="200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0"/>
      <c r="EO29" s="200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0"/>
      <c r="FB29" s="200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0"/>
      <c r="FO29" s="200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0"/>
      <c r="GB29" s="200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0"/>
      <c r="GO29" s="200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0"/>
      <c r="HB29" s="200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0"/>
      <c r="HO29" s="200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0"/>
      <c r="IB29" s="200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0"/>
      <c r="IO29" s="200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1"/>
      <c r="B30" s="212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04"/>
      <c r="O30" s="204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0"/>
      <c r="AB30" s="200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0"/>
      <c r="AO30" s="200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0"/>
      <c r="BB30" s="200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0"/>
      <c r="BO30" s="200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0"/>
      <c r="CB30" s="200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0"/>
      <c r="CO30" s="200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0"/>
      <c r="DB30" s="200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0"/>
      <c r="DO30" s="200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0"/>
      <c r="EB30" s="200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0"/>
      <c r="EO30" s="200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0"/>
      <c r="FB30" s="200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0"/>
      <c r="FO30" s="200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0"/>
      <c r="GB30" s="200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0"/>
      <c r="GO30" s="200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0"/>
      <c r="HB30" s="200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0"/>
      <c r="HO30" s="200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0"/>
      <c r="IB30" s="200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0"/>
      <c r="IO30" s="200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1"/>
      <c r="B31" s="212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04"/>
      <c r="O31" s="204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0"/>
      <c r="AB31" s="200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0"/>
      <c r="AO31" s="200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0"/>
      <c r="BB31" s="200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0"/>
      <c r="BO31" s="200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0"/>
      <c r="CB31" s="200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0"/>
      <c r="CO31" s="200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0"/>
      <c r="DB31" s="200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0"/>
      <c r="DO31" s="200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0"/>
      <c r="EB31" s="200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0"/>
      <c r="EO31" s="200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0"/>
      <c r="FB31" s="200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0"/>
      <c r="FO31" s="200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0"/>
      <c r="GB31" s="200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0"/>
      <c r="GO31" s="200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0"/>
      <c r="HB31" s="200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0"/>
      <c r="HO31" s="200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0"/>
      <c r="IB31" s="200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0"/>
      <c r="IO31" s="200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1"/>
      <c r="B32" s="212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16"/>
      <c r="O32" s="21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1"/>
      <c r="AB32" s="212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1"/>
      <c r="AO32" s="212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1"/>
      <c r="BB32" s="212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1"/>
      <c r="BO32" s="212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1"/>
      <c r="CB32" s="212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1"/>
      <c r="CO32" s="212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1"/>
      <c r="DB32" s="212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1"/>
      <c r="DO32" s="212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1"/>
      <c r="EB32" s="212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1"/>
      <c r="EO32" s="212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1"/>
      <c r="FB32" s="212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1"/>
      <c r="FO32" s="212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1"/>
      <c r="GB32" s="212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1"/>
      <c r="GO32" s="212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1"/>
      <c r="HB32" s="212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1"/>
      <c r="HO32" s="212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1"/>
      <c r="IB32" s="212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1"/>
      <c r="IO32" s="212"/>
      <c r="IP32" s="279"/>
      <c r="IQ32" s="279"/>
      <c r="IR32" s="279"/>
      <c r="IS32" s="279"/>
      <c r="IT32" s="279"/>
      <c r="IU32" s="279"/>
      <c r="IV32" s="279"/>
    </row>
    <row r="33" spans="1:256" x14ac:dyDescent="0.2">
      <c r="A33" s="211"/>
      <c r="B33" s="212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04"/>
      <c r="O33" s="204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00"/>
      <c r="AB33" s="200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0"/>
      <c r="AO33" s="200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0"/>
      <c r="BB33" s="200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205"/>
      <c r="BN33" s="200"/>
      <c r="BO33" s="200"/>
      <c r="BP33" s="205"/>
      <c r="BQ33" s="205"/>
      <c r="BR33" s="205"/>
      <c r="BS33" s="205"/>
      <c r="BT33" s="205"/>
      <c r="BU33" s="205"/>
      <c r="BV33" s="205"/>
      <c r="BW33" s="205"/>
      <c r="BX33" s="205"/>
      <c r="BY33" s="205"/>
      <c r="BZ33" s="205"/>
      <c r="CA33" s="200"/>
      <c r="CB33" s="200"/>
      <c r="CC33" s="205"/>
      <c r="CD33" s="205"/>
      <c r="CE33" s="205"/>
      <c r="CF33" s="205"/>
      <c r="CG33" s="205"/>
      <c r="CH33" s="205"/>
      <c r="CI33" s="205"/>
      <c r="CJ33" s="205"/>
      <c r="CK33" s="205"/>
      <c r="CL33" s="205"/>
      <c r="CM33" s="205"/>
      <c r="CN33" s="200"/>
      <c r="CO33" s="200"/>
      <c r="CP33" s="205"/>
      <c r="CQ33" s="205"/>
      <c r="CR33" s="205"/>
      <c r="CS33" s="205"/>
      <c r="CT33" s="205"/>
      <c r="CU33" s="205"/>
      <c r="CV33" s="205"/>
      <c r="CW33" s="205"/>
      <c r="CX33" s="205"/>
      <c r="CY33" s="205"/>
      <c r="CZ33" s="205"/>
      <c r="DA33" s="200"/>
      <c r="DB33" s="200"/>
      <c r="DC33" s="205"/>
      <c r="DD33" s="205"/>
      <c r="DE33" s="205"/>
      <c r="DF33" s="205"/>
      <c r="DG33" s="205"/>
      <c r="DH33" s="205"/>
      <c r="DI33" s="205"/>
      <c r="DJ33" s="205"/>
      <c r="DK33" s="205"/>
      <c r="DL33" s="205"/>
      <c r="DM33" s="205"/>
      <c r="DN33" s="200"/>
      <c r="DO33" s="200"/>
      <c r="DP33" s="205"/>
      <c r="DQ33" s="205"/>
      <c r="DR33" s="205"/>
      <c r="DS33" s="205"/>
      <c r="DT33" s="205"/>
      <c r="DU33" s="205"/>
      <c r="DV33" s="205"/>
      <c r="DW33" s="205"/>
      <c r="DX33" s="205"/>
      <c r="DY33" s="205"/>
      <c r="DZ33" s="205"/>
      <c r="EA33" s="200"/>
      <c r="EB33" s="200"/>
      <c r="EC33" s="205"/>
      <c r="ED33" s="205"/>
      <c r="EE33" s="205"/>
      <c r="EF33" s="205"/>
      <c r="EG33" s="205"/>
      <c r="EH33" s="205"/>
      <c r="EI33" s="205"/>
      <c r="EJ33" s="205"/>
      <c r="EK33" s="205"/>
      <c r="EL33" s="205"/>
      <c r="EM33" s="205"/>
      <c r="EN33" s="200"/>
      <c r="EO33" s="200"/>
      <c r="EP33" s="205"/>
      <c r="EQ33" s="205"/>
      <c r="ER33" s="205"/>
      <c r="ES33" s="205"/>
      <c r="ET33" s="205"/>
      <c r="EU33" s="205"/>
      <c r="EV33" s="205"/>
      <c r="EW33" s="205"/>
      <c r="EX33" s="205"/>
      <c r="EY33" s="205"/>
      <c r="EZ33" s="205"/>
      <c r="FA33" s="200"/>
      <c r="FB33" s="200"/>
      <c r="FC33" s="205"/>
      <c r="FD33" s="205"/>
      <c r="FE33" s="205"/>
      <c r="FF33" s="205"/>
      <c r="FG33" s="205"/>
      <c r="FH33" s="205"/>
      <c r="FI33" s="205"/>
      <c r="FJ33" s="205"/>
      <c r="FK33" s="205"/>
      <c r="FL33" s="205"/>
      <c r="FM33" s="205"/>
      <c r="FN33" s="200"/>
      <c r="FO33" s="200"/>
      <c r="FP33" s="205"/>
      <c r="FQ33" s="205"/>
      <c r="FR33" s="205"/>
      <c r="FS33" s="205"/>
      <c r="FT33" s="205"/>
      <c r="FU33" s="205"/>
      <c r="FV33" s="205"/>
      <c r="FW33" s="205"/>
      <c r="FX33" s="205"/>
      <c r="FY33" s="205"/>
      <c r="FZ33" s="205"/>
      <c r="GA33" s="200"/>
      <c r="GB33" s="200"/>
      <c r="GC33" s="205"/>
      <c r="GD33" s="205"/>
      <c r="GE33" s="205"/>
      <c r="GF33" s="205"/>
      <c r="GG33" s="205"/>
      <c r="GH33" s="205"/>
      <c r="GI33" s="205"/>
      <c r="GJ33" s="205"/>
      <c r="GK33" s="205"/>
      <c r="GL33" s="205"/>
      <c r="GM33" s="205"/>
      <c r="GN33" s="200"/>
      <c r="GO33" s="200"/>
      <c r="GP33" s="205"/>
      <c r="GQ33" s="205"/>
      <c r="GR33" s="205"/>
      <c r="GS33" s="205"/>
      <c r="GT33" s="205"/>
      <c r="GU33" s="205"/>
      <c r="GV33" s="205"/>
      <c r="GW33" s="205"/>
      <c r="GX33" s="205"/>
      <c r="GY33" s="205"/>
      <c r="GZ33" s="205"/>
      <c r="HA33" s="200"/>
      <c r="HB33" s="200"/>
      <c r="HC33" s="205"/>
      <c r="HD33" s="205"/>
      <c r="HE33" s="205"/>
      <c r="HF33" s="205"/>
      <c r="HG33" s="205"/>
      <c r="HH33" s="205"/>
      <c r="HI33" s="205"/>
      <c r="HJ33" s="205"/>
      <c r="HK33" s="205"/>
      <c r="HL33" s="205"/>
      <c r="HM33" s="205"/>
      <c r="HN33" s="200"/>
      <c r="HO33" s="200"/>
      <c r="HP33" s="205"/>
      <c r="HQ33" s="205"/>
      <c r="HR33" s="205"/>
      <c r="HS33" s="205"/>
      <c r="HT33" s="205"/>
      <c r="HU33" s="205"/>
      <c r="HV33" s="205"/>
      <c r="HW33" s="205"/>
      <c r="HX33" s="205"/>
      <c r="HY33" s="205"/>
      <c r="HZ33" s="205"/>
      <c r="IA33" s="200"/>
      <c r="IB33" s="200"/>
      <c r="IC33" s="205"/>
      <c r="ID33" s="205"/>
      <c r="IE33" s="205"/>
      <c r="IF33" s="205"/>
      <c r="IG33" s="205"/>
      <c r="IH33" s="205"/>
      <c r="II33" s="205"/>
      <c r="IJ33" s="205"/>
      <c r="IK33" s="205"/>
      <c r="IL33" s="205"/>
      <c r="IM33" s="205"/>
      <c r="IN33" s="200"/>
      <c r="IO33" s="200"/>
      <c r="IP33" s="205"/>
      <c r="IQ33" s="205"/>
      <c r="IR33" s="205"/>
      <c r="IS33" s="205"/>
      <c r="IT33" s="205"/>
      <c r="IU33" s="205"/>
      <c r="IV33" s="205"/>
    </row>
    <row r="34" spans="1:256" x14ac:dyDescent="0.2">
      <c r="A34" s="211"/>
      <c r="B34" s="212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04"/>
      <c r="O34" s="204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00"/>
      <c r="AB34" s="200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0"/>
      <c r="AO34" s="200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5"/>
      <c r="BA34" s="200"/>
      <c r="BB34" s="200"/>
      <c r="BC34" s="205"/>
      <c r="BD34" s="205"/>
      <c r="BE34" s="205"/>
      <c r="BF34" s="205"/>
      <c r="BG34" s="205"/>
      <c r="BH34" s="205"/>
      <c r="BI34" s="205"/>
      <c r="BJ34" s="205"/>
      <c r="BK34" s="205"/>
      <c r="BL34" s="205"/>
      <c r="BM34" s="205"/>
      <c r="BN34" s="200"/>
      <c r="BO34" s="200"/>
      <c r="BP34" s="205"/>
      <c r="BQ34" s="205"/>
      <c r="BR34" s="205"/>
      <c r="BS34" s="205"/>
      <c r="BT34" s="205"/>
      <c r="BU34" s="205"/>
      <c r="BV34" s="205"/>
      <c r="BW34" s="205"/>
      <c r="BX34" s="205"/>
      <c r="BY34" s="205"/>
      <c r="BZ34" s="205"/>
      <c r="CA34" s="200"/>
      <c r="CB34" s="200"/>
      <c r="CC34" s="205"/>
      <c r="CD34" s="205"/>
      <c r="CE34" s="205"/>
      <c r="CF34" s="205"/>
      <c r="CG34" s="205"/>
      <c r="CH34" s="205"/>
      <c r="CI34" s="205"/>
      <c r="CJ34" s="205"/>
      <c r="CK34" s="205"/>
      <c r="CL34" s="205"/>
      <c r="CM34" s="205"/>
      <c r="CN34" s="200"/>
      <c r="CO34" s="200"/>
      <c r="CP34" s="205"/>
      <c r="CQ34" s="205"/>
      <c r="CR34" s="205"/>
      <c r="CS34" s="205"/>
      <c r="CT34" s="205"/>
      <c r="CU34" s="205"/>
      <c r="CV34" s="205"/>
      <c r="CW34" s="205"/>
      <c r="CX34" s="205"/>
      <c r="CY34" s="205"/>
      <c r="CZ34" s="205"/>
      <c r="DA34" s="200"/>
      <c r="DB34" s="200"/>
      <c r="DC34" s="205"/>
      <c r="DD34" s="205"/>
      <c r="DE34" s="205"/>
      <c r="DF34" s="205"/>
      <c r="DG34" s="205"/>
      <c r="DH34" s="205"/>
      <c r="DI34" s="205"/>
      <c r="DJ34" s="205"/>
      <c r="DK34" s="205"/>
      <c r="DL34" s="205"/>
      <c r="DM34" s="205"/>
      <c r="DN34" s="200"/>
      <c r="DO34" s="200"/>
      <c r="DP34" s="205"/>
      <c r="DQ34" s="205"/>
      <c r="DR34" s="205"/>
      <c r="DS34" s="205"/>
      <c r="DT34" s="205"/>
      <c r="DU34" s="205"/>
      <c r="DV34" s="205"/>
      <c r="DW34" s="205"/>
      <c r="DX34" s="205"/>
      <c r="DY34" s="205"/>
      <c r="DZ34" s="205"/>
      <c r="EA34" s="200"/>
      <c r="EB34" s="200"/>
      <c r="EC34" s="205"/>
      <c r="ED34" s="205"/>
      <c r="EE34" s="205"/>
      <c r="EF34" s="205"/>
      <c r="EG34" s="205"/>
      <c r="EH34" s="205"/>
      <c r="EI34" s="205"/>
      <c r="EJ34" s="205"/>
      <c r="EK34" s="205"/>
      <c r="EL34" s="205"/>
      <c r="EM34" s="205"/>
      <c r="EN34" s="200"/>
      <c r="EO34" s="200"/>
      <c r="EP34" s="205"/>
      <c r="EQ34" s="205"/>
      <c r="ER34" s="205"/>
      <c r="ES34" s="205"/>
      <c r="ET34" s="205"/>
      <c r="EU34" s="205"/>
      <c r="EV34" s="205"/>
      <c r="EW34" s="205"/>
      <c r="EX34" s="205"/>
      <c r="EY34" s="205"/>
      <c r="EZ34" s="205"/>
      <c r="FA34" s="200"/>
      <c r="FB34" s="200"/>
      <c r="FC34" s="205"/>
      <c r="FD34" s="205"/>
      <c r="FE34" s="205"/>
      <c r="FF34" s="205"/>
      <c r="FG34" s="205"/>
      <c r="FH34" s="205"/>
      <c r="FI34" s="205"/>
      <c r="FJ34" s="205"/>
      <c r="FK34" s="205"/>
      <c r="FL34" s="205"/>
      <c r="FM34" s="205"/>
      <c r="FN34" s="200"/>
      <c r="FO34" s="200"/>
      <c r="FP34" s="205"/>
      <c r="FQ34" s="205"/>
      <c r="FR34" s="205"/>
      <c r="FS34" s="205"/>
      <c r="FT34" s="205"/>
      <c r="FU34" s="205"/>
      <c r="FV34" s="205"/>
      <c r="FW34" s="205"/>
      <c r="FX34" s="205"/>
      <c r="FY34" s="205"/>
      <c r="FZ34" s="205"/>
      <c r="GA34" s="200"/>
      <c r="GB34" s="200"/>
      <c r="GC34" s="205"/>
      <c r="GD34" s="205"/>
      <c r="GE34" s="205"/>
      <c r="GF34" s="205"/>
      <c r="GG34" s="205"/>
      <c r="GH34" s="205"/>
      <c r="GI34" s="205"/>
      <c r="GJ34" s="205"/>
      <c r="GK34" s="205"/>
      <c r="GL34" s="205"/>
      <c r="GM34" s="205"/>
      <c r="GN34" s="200"/>
      <c r="GO34" s="200"/>
      <c r="GP34" s="205"/>
      <c r="GQ34" s="205"/>
      <c r="GR34" s="205"/>
      <c r="GS34" s="205"/>
      <c r="GT34" s="205"/>
      <c r="GU34" s="205"/>
      <c r="GV34" s="205"/>
      <c r="GW34" s="205"/>
      <c r="GX34" s="205"/>
      <c r="GY34" s="205"/>
      <c r="GZ34" s="205"/>
      <c r="HA34" s="200"/>
      <c r="HB34" s="200"/>
      <c r="HC34" s="205"/>
      <c r="HD34" s="205"/>
      <c r="HE34" s="205"/>
      <c r="HF34" s="205"/>
      <c r="HG34" s="205"/>
      <c r="HH34" s="205"/>
      <c r="HI34" s="205"/>
      <c r="HJ34" s="205"/>
      <c r="HK34" s="205"/>
      <c r="HL34" s="205"/>
      <c r="HM34" s="205"/>
      <c r="HN34" s="200"/>
      <c r="HO34" s="200"/>
      <c r="HP34" s="205"/>
      <c r="HQ34" s="205"/>
      <c r="HR34" s="205"/>
      <c r="HS34" s="205"/>
      <c r="HT34" s="205"/>
      <c r="HU34" s="205"/>
      <c r="HV34" s="205"/>
      <c r="HW34" s="205"/>
      <c r="HX34" s="205"/>
      <c r="HY34" s="205"/>
      <c r="HZ34" s="205"/>
      <c r="IA34" s="200"/>
      <c r="IB34" s="200"/>
      <c r="IC34" s="205"/>
      <c r="ID34" s="205"/>
      <c r="IE34" s="205"/>
      <c r="IF34" s="205"/>
      <c r="IG34" s="205"/>
      <c r="IH34" s="205"/>
      <c r="II34" s="205"/>
      <c r="IJ34" s="205"/>
      <c r="IK34" s="205"/>
      <c r="IL34" s="205"/>
      <c r="IM34" s="205"/>
      <c r="IN34" s="200"/>
      <c r="IO34" s="200"/>
      <c r="IP34" s="205"/>
      <c r="IQ34" s="205"/>
      <c r="IR34" s="205"/>
      <c r="IS34" s="205"/>
      <c r="IT34" s="205"/>
      <c r="IU34" s="205"/>
      <c r="IV34" s="205"/>
    </row>
    <row r="35" spans="1:256" x14ac:dyDescent="0.2">
      <c r="A35" s="211"/>
      <c r="B35" s="212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04"/>
      <c r="O35" s="204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00"/>
      <c r="AB35" s="200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0"/>
      <c r="AO35" s="200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0"/>
      <c r="BB35" s="200"/>
      <c r="BC35" s="205"/>
      <c r="BD35" s="205"/>
      <c r="BE35" s="205"/>
      <c r="BF35" s="205"/>
      <c r="BG35" s="205"/>
      <c r="BH35" s="205"/>
      <c r="BI35" s="205"/>
      <c r="BJ35" s="205"/>
      <c r="BK35" s="205"/>
      <c r="BL35" s="205"/>
      <c r="BM35" s="205"/>
      <c r="BN35" s="200"/>
      <c r="BO35" s="200"/>
      <c r="BP35" s="205"/>
      <c r="BQ35" s="205"/>
      <c r="BR35" s="205"/>
      <c r="BS35" s="205"/>
      <c r="BT35" s="205"/>
      <c r="BU35" s="205"/>
      <c r="BV35" s="205"/>
      <c r="BW35" s="205"/>
      <c r="BX35" s="205"/>
      <c r="BY35" s="205"/>
      <c r="BZ35" s="205"/>
      <c r="CA35" s="200"/>
      <c r="CB35" s="200"/>
      <c r="CC35" s="205"/>
      <c r="CD35" s="205"/>
      <c r="CE35" s="205"/>
      <c r="CF35" s="205"/>
      <c r="CG35" s="205"/>
      <c r="CH35" s="205"/>
      <c r="CI35" s="205"/>
      <c r="CJ35" s="205"/>
      <c r="CK35" s="205"/>
      <c r="CL35" s="205"/>
      <c r="CM35" s="205"/>
      <c r="CN35" s="200"/>
      <c r="CO35" s="200"/>
      <c r="CP35" s="205"/>
      <c r="CQ35" s="205"/>
      <c r="CR35" s="205"/>
      <c r="CS35" s="205"/>
      <c r="CT35" s="205"/>
      <c r="CU35" s="205"/>
      <c r="CV35" s="205"/>
      <c r="CW35" s="205"/>
      <c r="CX35" s="205"/>
      <c r="CY35" s="205"/>
      <c r="CZ35" s="205"/>
      <c r="DA35" s="200"/>
      <c r="DB35" s="200"/>
      <c r="DC35" s="205"/>
      <c r="DD35" s="205"/>
      <c r="DE35" s="205"/>
      <c r="DF35" s="205"/>
      <c r="DG35" s="205"/>
      <c r="DH35" s="205"/>
      <c r="DI35" s="205"/>
      <c r="DJ35" s="205"/>
      <c r="DK35" s="205"/>
      <c r="DL35" s="205"/>
      <c r="DM35" s="205"/>
      <c r="DN35" s="200"/>
      <c r="DO35" s="200"/>
      <c r="DP35" s="205"/>
      <c r="DQ35" s="205"/>
      <c r="DR35" s="205"/>
      <c r="DS35" s="205"/>
      <c r="DT35" s="205"/>
      <c r="DU35" s="205"/>
      <c r="DV35" s="205"/>
      <c r="DW35" s="205"/>
      <c r="DX35" s="205"/>
      <c r="DY35" s="205"/>
      <c r="DZ35" s="205"/>
      <c r="EA35" s="200"/>
      <c r="EB35" s="200"/>
      <c r="EC35" s="205"/>
      <c r="ED35" s="205"/>
      <c r="EE35" s="205"/>
      <c r="EF35" s="205"/>
      <c r="EG35" s="205"/>
      <c r="EH35" s="205"/>
      <c r="EI35" s="205"/>
      <c r="EJ35" s="205"/>
      <c r="EK35" s="205"/>
      <c r="EL35" s="205"/>
      <c r="EM35" s="205"/>
      <c r="EN35" s="200"/>
      <c r="EO35" s="200"/>
      <c r="EP35" s="205"/>
      <c r="EQ35" s="205"/>
      <c r="ER35" s="205"/>
      <c r="ES35" s="205"/>
      <c r="ET35" s="205"/>
      <c r="EU35" s="205"/>
      <c r="EV35" s="205"/>
      <c r="EW35" s="205"/>
      <c r="EX35" s="205"/>
      <c r="EY35" s="205"/>
      <c r="EZ35" s="205"/>
      <c r="FA35" s="200"/>
      <c r="FB35" s="200"/>
      <c r="FC35" s="205"/>
      <c r="FD35" s="205"/>
      <c r="FE35" s="205"/>
      <c r="FF35" s="205"/>
      <c r="FG35" s="205"/>
      <c r="FH35" s="205"/>
      <c r="FI35" s="205"/>
      <c r="FJ35" s="205"/>
      <c r="FK35" s="205"/>
      <c r="FL35" s="205"/>
      <c r="FM35" s="205"/>
      <c r="FN35" s="200"/>
      <c r="FO35" s="200"/>
      <c r="FP35" s="205"/>
      <c r="FQ35" s="205"/>
      <c r="FR35" s="205"/>
      <c r="FS35" s="205"/>
      <c r="FT35" s="205"/>
      <c r="FU35" s="205"/>
      <c r="FV35" s="205"/>
      <c r="FW35" s="205"/>
      <c r="FX35" s="205"/>
      <c r="FY35" s="205"/>
      <c r="FZ35" s="205"/>
      <c r="GA35" s="200"/>
      <c r="GB35" s="200"/>
      <c r="GC35" s="205"/>
      <c r="GD35" s="205"/>
      <c r="GE35" s="205"/>
      <c r="GF35" s="205"/>
      <c r="GG35" s="205"/>
      <c r="GH35" s="205"/>
      <c r="GI35" s="205"/>
      <c r="GJ35" s="205"/>
      <c r="GK35" s="205"/>
      <c r="GL35" s="205"/>
      <c r="GM35" s="205"/>
      <c r="GN35" s="200"/>
      <c r="GO35" s="200"/>
      <c r="GP35" s="205"/>
      <c r="GQ35" s="205"/>
      <c r="GR35" s="205"/>
      <c r="GS35" s="205"/>
      <c r="GT35" s="205"/>
      <c r="GU35" s="205"/>
      <c r="GV35" s="205"/>
      <c r="GW35" s="205"/>
      <c r="GX35" s="205"/>
      <c r="GY35" s="205"/>
      <c r="GZ35" s="205"/>
      <c r="HA35" s="200"/>
      <c r="HB35" s="200"/>
      <c r="HC35" s="205"/>
      <c r="HD35" s="205"/>
      <c r="HE35" s="205"/>
      <c r="HF35" s="205"/>
      <c r="HG35" s="205"/>
      <c r="HH35" s="205"/>
      <c r="HI35" s="205"/>
      <c r="HJ35" s="205"/>
      <c r="HK35" s="205"/>
      <c r="HL35" s="205"/>
      <c r="HM35" s="205"/>
      <c r="HN35" s="200"/>
      <c r="HO35" s="200"/>
      <c r="HP35" s="205"/>
      <c r="HQ35" s="205"/>
      <c r="HR35" s="205"/>
      <c r="HS35" s="205"/>
      <c r="HT35" s="205"/>
      <c r="HU35" s="205"/>
      <c r="HV35" s="205"/>
      <c r="HW35" s="205"/>
      <c r="HX35" s="205"/>
      <c r="HY35" s="205"/>
      <c r="HZ35" s="205"/>
      <c r="IA35" s="200"/>
      <c r="IB35" s="200"/>
      <c r="IC35" s="205"/>
      <c r="ID35" s="205"/>
      <c r="IE35" s="205"/>
      <c r="IF35" s="205"/>
      <c r="IG35" s="205"/>
      <c r="IH35" s="205"/>
      <c r="II35" s="205"/>
      <c r="IJ35" s="205"/>
      <c r="IK35" s="205"/>
      <c r="IL35" s="205"/>
      <c r="IM35" s="205"/>
      <c r="IN35" s="200"/>
      <c r="IO35" s="200"/>
      <c r="IP35" s="205"/>
      <c r="IQ35" s="205"/>
      <c r="IR35" s="205"/>
      <c r="IS35" s="205"/>
      <c r="IT35" s="205"/>
      <c r="IU35" s="205"/>
      <c r="IV35" s="205"/>
    </row>
    <row r="36" spans="1:256" x14ac:dyDescent="0.2">
      <c r="A36" s="211"/>
      <c r="B36" s="212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04"/>
      <c r="O36" s="204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00"/>
      <c r="AB36" s="200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0"/>
      <c r="AO36" s="200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5"/>
      <c r="BA36" s="200"/>
      <c r="BB36" s="200"/>
      <c r="BC36" s="205"/>
      <c r="BD36" s="205"/>
      <c r="BE36" s="205"/>
      <c r="BF36" s="205"/>
      <c r="BG36" s="205"/>
      <c r="BH36" s="205"/>
      <c r="BI36" s="205"/>
      <c r="BJ36" s="205"/>
      <c r="BK36" s="205"/>
      <c r="BL36" s="205"/>
      <c r="BM36" s="205"/>
      <c r="BN36" s="200"/>
      <c r="BO36" s="200"/>
      <c r="BP36" s="205"/>
      <c r="BQ36" s="205"/>
      <c r="BR36" s="205"/>
      <c r="BS36" s="205"/>
      <c r="BT36" s="205"/>
      <c r="BU36" s="205"/>
      <c r="BV36" s="205"/>
      <c r="BW36" s="205"/>
      <c r="BX36" s="205"/>
      <c r="BY36" s="205"/>
      <c r="BZ36" s="205"/>
      <c r="CA36" s="200"/>
      <c r="CB36" s="200"/>
      <c r="CC36" s="205"/>
      <c r="CD36" s="205"/>
      <c r="CE36" s="205"/>
      <c r="CF36" s="205"/>
      <c r="CG36" s="205"/>
      <c r="CH36" s="205"/>
      <c r="CI36" s="205"/>
      <c r="CJ36" s="205"/>
      <c r="CK36" s="205"/>
      <c r="CL36" s="205"/>
      <c r="CM36" s="205"/>
      <c r="CN36" s="200"/>
      <c r="CO36" s="200"/>
      <c r="CP36" s="205"/>
      <c r="CQ36" s="205"/>
      <c r="CR36" s="205"/>
      <c r="CS36" s="205"/>
      <c r="CT36" s="205"/>
      <c r="CU36" s="205"/>
      <c r="CV36" s="205"/>
      <c r="CW36" s="205"/>
      <c r="CX36" s="205"/>
      <c r="CY36" s="205"/>
      <c r="CZ36" s="205"/>
      <c r="DA36" s="200"/>
      <c r="DB36" s="200"/>
      <c r="DC36" s="205"/>
      <c r="DD36" s="205"/>
      <c r="DE36" s="205"/>
      <c r="DF36" s="205"/>
      <c r="DG36" s="205"/>
      <c r="DH36" s="205"/>
      <c r="DI36" s="205"/>
      <c r="DJ36" s="205"/>
      <c r="DK36" s="205"/>
      <c r="DL36" s="205"/>
      <c r="DM36" s="205"/>
      <c r="DN36" s="200"/>
      <c r="DO36" s="200"/>
      <c r="DP36" s="205"/>
      <c r="DQ36" s="205"/>
      <c r="DR36" s="205"/>
      <c r="DS36" s="205"/>
      <c r="DT36" s="205"/>
      <c r="DU36" s="205"/>
      <c r="DV36" s="205"/>
      <c r="DW36" s="205"/>
      <c r="DX36" s="205"/>
      <c r="DY36" s="205"/>
      <c r="DZ36" s="205"/>
      <c r="EA36" s="200"/>
      <c r="EB36" s="200"/>
      <c r="EC36" s="205"/>
      <c r="ED36" s="205"/>
      <c r="EE36" s="205"/>
      <c r="EF36" s="205"/>
      <c r="EG36" s="205"/>
      <c r="EH36" s="205"/>
      <c r="EI36" s="205"/>
      <c r="EJ36" s="205"/>
      <c r="EK36" s="205"/>
      <c r="EL36" s="205"/>
      <c r="EM36" s="205"/>
      <c r="EN36" s="200"/>
      <c r="EO36" s="200"/>
      <c r="EP36" s="205"/>
      <c r="EQ36" s="205"/>
      <c r="ER36" s="205"/>
      <c r="ES36" s="205"/>
      <c r="ET36" s="205"/>
      <c r="EU36" s="205"/>
      <c r="EV36" s="205"/>
      <c r="EW36" s="205"/>
      <c r="EX36" s="205"/>
      <c r="EY36" s="205"/>
      <c r="EZ36" s="205"/>
      <c r="FA36" s="200"/>
      <c r="FB36" s="200"/>
      <c r="FC36" s="205"/>
      <c r="FD36" s="205"/>
      <c r="FE36" s="205"/>
      <c r="FF36" s="205"/>
      <c r="FG36" s="205"/>
      <c r="FH36" s="205"/>
      <c r="FI36" s="205"/>
      <c r="FJ36" s="205"/>
      <c r="FK36" s="205"/>
      <c r="FL36" s="205"/>
      <c r="FM36" s="205"/>
      <c r="FN36" s="200"/>
      <c r="FO36" s="200"/>
      <c r="FP36" s="205"/>
      <c r="FQ36" s="205"/>
      <c r="FR36" s="205"/>
      <c r="FS36" s="205"/>
      <c r="FT36" s="205"/>
      <c r="FU36" s="205"/>
      <c r="FV36" s="205"/>
      <c r="FW36" s="205"/>
      <c r="FX36" s="205"/>
      <c r="FY36" s="205"/>
      <c r="FZ36" s="205"/>
      <c r="GA36" s="200"/>
      <c r="GB36" s="200"/>
      <c r="GC36" s="205"/>
      <c r="GD36" s="205"/>
      <c r="GE36" s="205"/>
      <c r="GF36" s="205"/>
      <c r="GG36" s="205"/>
      <c r="GH36" s="205"/>
      <c r="GI36" s="205"/>
      <c r="GJ36" s="205"/>
      <c r="GK36" s="205"/>
      <c r="GL36" s="205"/>
      <c r="GM36" s="205"/>
      <c r="GN36" s="200"/>
      <c r="GO36" s="200"/>
      <c r="GP36" s="205"/>
      <c r="GQ36" s="205"/>
      <c r="GR36" s="205"/>
      <c r="GS36" s="205"/>
      <c r="GT36" s="205"/>
      <c r="GU36" s="205"/>
      <c r="GV36" s="205"/>
      <c r="GW36" s="205"/>
      <c r="GX36" s="205"/>
      <c r="GY36" s="205"/>
      <c r="GZ36" s="205"/>
      <c r="HA36" s="200"/>
      <c r="HB36" s="200"/>
      <c r="HC36" s="205"/>
      <c r="HD36" s="205"/>
      <c r="HE36" s="205"/>
      <c r="HF36" s="205"/>
      <c r="HG36" s="205"/>
      <c r="HH36" s="205"/>
      <c r="HI36" s="205"/>
      <c r="HJ36" s="205"/>
      <c r="HK36" s="205"/>
      <c r="HL36" s="205"/>
      <c r="HM36" s="205"/>
      <c r="HN36" s="200"/>
      <c r="HO36" s="200"/>
      <c r="HP36" s="205"/>
      <c r="HQ36" s="205"/>
      <c r="HR36" s="205"/>
      <c r="HS36" s="205"/>
      <c r="HT36" s="205"/>
      <c r="HU36" s="205"/>
      <c r="HV36" s="205"/>
      <c r="HW36" s="205"/>
      <c r="HX36" s="205"/>
      <c r="HY36" s="205"/>
      <c r="HZ36" s="205"/>
      <c r="IA36" s="200"/>
      <c r="IB36" s="200"/>
      <c r="IC36" s="205"/>
      <c r="ID36" s="205"/>
      <c r="IE36" s="205"/>
      <c r="IF36" s="205"/>
      <c r="IG36" s="205"/>
      <c r="IH36" s="205"/>
      <c r="II36" s="205"/>
      <c r="IJ36" s="205"/>
      <c r="IK36" s="205"/>
      <c r="IL36" s="205"/>
      <c r="IM36" s="205"/>
      <c r="IN36" s="200"/>
      <c r="IO36" s="200"/>
      <c r="IP36" s="205"/>
      <c r="IQ36" s="205"/>
      <c r="IR36" s="205"/>
      <c r="IS36" s="205"/>
      <c r="IT36" s="205"/>
      <c r="IU36" s="205"/>
      <c r="IV36" s="205"/>
    </row>
    <row r="37" spans="1:256" x14ac:dyDescent="0.2">
      <c r="A37" s="211"/>
      <c r="B37" s="212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04"/>
      <c r="O37" s="204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00"/>
      <c r="AB37" s="200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0"/>
      <c r="AO37" s="200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5"/>
      <c r="BA37" s="200"/>
      <c r="BB37" s="200"/>
      <c r="BC37" s="205"/>
      <c r="BD37" s="205"/>
      <c r="BE37" s="205"/>
      <c r="BF37" s="205"/>
      <c r="BG37" s="205"/>
      <c r="BH37" s="205"/>
      <c r="BI37" s="205"/>
      <c r="BJ37" s="205"/>
      <c r="BK37" s="205"/>
      <c r="BL37" s="205"/>
      <c r="BM37" s="205"/>
      <c r="BN37" s="200"/>
      <c r="BO37" s="200"/>
      <c r="BP37" s="205"/>
      <c r="BQ37" s="205"/>
      <c r="BR37" s="205"/>
      <c r="BS37" s="205"/>
      <c r="BT37" s="205"/>
      <c r="BU37" s="205"/>
      <c r="BV37" s="205"/>
      <c r="BW37" s="205"/>
      <c r="BX37" s="205"/>
      <c r="BY37" s="205"/>
      <c r="BZ37" s="205"/>
      <c r="CA37" s="200"/>
      <c r="CB37" s="200"/>
      <c r="CC37" s="205"/>
      <c r="CD37" s="205"/>
      <c r="CE37" s="205"/>
      <c r="CF37" s="205"/>
      <c r="CG37" s="205"/>
      <c r="CH37" s="205"/>
      <c r="CI37" s="205"/>
      <c r="CJ37" s="205"/>
      <c r="CK37" s="205"/>
      <c r="CL37" s="205"/>
      <c r="CM37" s="205"/>
      <c r="CN37" s="200"/>
      <c r="CO37" s="200"/>
      <c r="CP37" s="205"/>
      <c r="CQ37" s="205"/>
      <c r="CR37" s="205"/>
      <c r="CS37" s="205"/>
      <c r="CT37" s="205"/>
      <c r="CU37" s="205"/>
      <c r="CV37" s="205"/>
      <c r="CW37" s="205"/>
      <c r="CX37" s="205"/>
      <c r="CY37" s="205"/>
      <c r="CZ37" s="205"/>
      <c r="DA37" s="200"/>
      <c r="DB37" s="200"/>
      <c r="DC37" s="205"/>
      <c r="DD37" s="205"/>
      <c r="DE37" s="205"/>
      <c r="DF37" s="205"/>
      <c r="DG37" s="205"/>
      <c r="DH37" s="205"/>
      <c r="DI37" s="205"/>
      <c r="DJ37" s="205"/>
      <c r="DK37" s="205"/>
      <c r="DL37" s="205"/>
      <c r="DM37" s="205"/>
      <c r="DN37" s="200"/>
      <c r="DO37" s="200"/>
      <c r="DP37" s="205"/>
      <c r="DQ37" s="205"/>
      <c r="DR37" s="205"/>
      <c r="DS37" s="205"/>
      <c r="DT37" s="205"/>
      <c r="DU37" s="205"/>
      <c r="DV37" s="205"/>
      <c r="DW37" s="205"/>
      <c r="DX37" s="205"/>
      <c r="DY37" s="205"/>
      <c r="DZ37" s="205"/>
      <c r="EA37" s="200"/>
      <c r="EB37" s="200"/>
      <c r="EC37" s="205"/>
      <c r="ED37" s="205"/>
      <c r="EE37" s="205"/>
      <c r="EF37" s="205"/>
      <c r="EG37" s="205"/>
      <c r="EH37" s="205"/>
      <c r="EI37" s="205"/>
      <c r="EJ37" s="205"/>
      <c r="EK37" s="205"/>
      <c r="EL37" s="205"/>
      <c r="EM37" s="205"/>
      <c r="EN37" s="200"/>
      <c r="EO37" s="200"/>
      <c r="EP37" s="205"/>
      <c r="EQ37" s="205"/>
      <c r="ER37" s="205"/>
      <c r="ES37" s="205"/>
      <c r="ET37" s="205"/>
      <c r="EU37" s="205"/>
      <c r="EV37" s="205"/>
      <c r="EW37" s="205"/>
      <c r="EX37" s="205"/>
      <c r="EY37" s="205"/>
      <c r="EZ37" s="205"/>
      <c r="FA37" s="200"/>
      <c r="FB37" s="200"/>
      <c r="FC37" s="205"/>
      <c r="FD37" s="205"/>
      <c r="FE37" s="205"/>
      <c r="FF37" s="205"/>
      <c r="FG37" s="205"/>
      <c r="FH37" s="205"/>
      <c r="FI37" s="205"/>
      <c r="FJ37" s="205"/>
      <c r="FK37" s="205"/>
      <c r="FL37" s="205"/>
      <c r="FM37" s="205"/>
      <c r="FN37" s="200"/>
      <c r="FO37" s="200"/>
      <c r="FP37" s="205"/>
      <c r="FQ37" s="205"/>
      <c r="FR37" s="205"/>
      <c r="FS37" s="205"/>
      <c r="FT37" s="205"/>
      <c r="FU37" s="205"/>
      <c r="FV37" s="205"/>
      <c r="FW37" s="205"/>
      <c r="FX37" s="205"/>
      <c r="FY37" s="205"/>
      <c r="FZ37" s="205"/>
      <c r="GA37" s="200"/>
      <c r="GB37" s="200"/>
      <c r="GC37" s="205"/>
      <c r="GD37" s="205"/>
      <c r="GE37" s="205"/>
      <c r="GF37" s="205"/>
      <c r="GG37" s="205"/>
      <c r="GH37" s="205"/>
      <c r="GI37" s="205"/>
      <c r="GJ37" s="205"/>
      <c r="GK37" s="205"/>
      <c r="GL37" s="205"/>
      <c r="GM37" s="205"/>
      <c r="GN37" s="200"/>
      <c r="GO37" s="200"/>
      <c r="GP37" s="205"/>
      <c r="GQ37" s="205"/>
      <c r="GR37" s="205"/>
      <c r="GS37" s="205"/>
      <c r="GT37" s="205"/>
      <c r="GU37" s="205"/>
      <c r="GV37" s="205"/>
      <c r="GW37" s="205"/>
      <c r="GX37" s="205"/>
      <c r="GY37" s="205"/>
      <c r="GZ37" s="205"/>
      <c r="HA37" s="200"/>
      <c r="HB37" s="200"/>
      <c r="HC37" s="205"/>
      <c r="HD37" s="205"/>
      <c r="HE37" s="205"/>
      <c r="HF37" s="205"/>
      <c r="HG37" s="205"/>
      <c r="HH37" s="205"/>
      <c r="HI37" s="205"/>
      <c r="HJ37" s="205"/>
      <c r="HK37" s="205"/>
      <c r="HL37" s="205"/>
      <c r="HM37" s="205"/>
      <c r="HN37" s="200"/>
      <c r="HO37" s="200"/>
      <c r="HP37" s="205"/>
      <c r="HQ37" s="205"/>
      <c r="HR37" s="205"/>
      <c r="HS37" s="205"/>
      <c r="HT37" s="205"/>
      <c r="HU37" s="205"/>
      <c r="HV37" s="205"/>
      <c r="HW37" s="205"/>
      <c r="HX37" s="205"/>
      <c r="HY37" s="205"/>
      <c r="HZ37" s="205"/>
      <c r="IA37" s="200"/>
      <c r="IB37" s="200"/>
      <c r="IC37" s="205"/>
      <c r="ID37" s="205"/>
      <c r="IE37" s="205"/>
      <c r="IF37" s="205"/>
      <c r="IG37" s="205"/>
      <c r="IH37" s="205"/>
      <c r="II37" s="205"/>
      <c r="IJ37" s="205"/>
      <c r="IK37" s="205"/>
      <c r="IL37" s="205"/>
      <c r="IM37" s="205"/>
      <c r="IN37" s="200"/>
      <c r="IO37" s="200"/>
      <c r="IP37" s="205"/>
      <c r="IQ37" s="205"/>
      <c r="IR37" s="205"/>
      <c r="IS37" s="205"/>
      <c r="IT37" s="205"/>
      <c r="IU37" s="205"/>
      <c r="IV37" s="205"/>
    </row>
    <row r="38" spans="1:256" x14ac:dyDescent="0.2">
      <c r="A38" s="211"/>
      <c r="B38" s="212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04"/>
      <c r="O38" s="204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0"/>
      <c r="AB38" s="200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0"/>
      <c r="AO38" s="200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0"/>
      <c r="BB38" s="200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0"/>
      <c r="BO38" s="200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0"/>
      <c r="CB38" s="200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0"/>
      <c r="CO38" s="200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0"/>
      <c r="DB38" s="200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0"/>
      <c r="DO38" s="200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0"/>
      <c r="EB38" s="200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0"/>
      <c r="EO38" s="200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0"/>
      <c r="FB38" s="200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0"/>
      <c r="FO38" s="200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0"/>
      <c r="GB38" s="200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0"/>
      <c r="GO38" s="200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0"/>
      <c r="HB38" s="200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0"/>
      <c r="HO38" s="200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0"/>
      <c r="IB38" s="200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0"/>
      <c r="IO38" s="200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1"/>
      <c r="B39" s="212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04"/>
      <c r="O39" s="204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0"/>
      <c r="AB39" s="200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0"/>
      <c r="AO39" s="200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0"/>
      <c r="BB39" s="200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0"/>
      <c r="BO39" s="200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0"/>
      <c r="CB39" s="200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0"/>
      <c r="CO39" s="200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0"/>
      <c r="DB39" s="200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0"/>
      <c r="DO39" s="200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0"/>
      <c r="EB39" s="200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0"/>
      <c r="EO39" s="200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0"/>
      <c r="FB39" s="200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0"/>
      <c r="FO39" s="200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0"/>
      <c r="GB39" s="200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0"/>
      <c r="GO39" s="200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0"/>
      <c r="HB39" s="200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0"/>
      <c r="HO39" s="200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0"/>
      <c r="IB39" s="200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0"/>
      <c r="IO39" s="200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1"/>
      <c r="B40" s="212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04"/>
      <c r="O40" s="204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0"/>
      <c r="AB40" s="200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0"/>
      <c r="AO40" s="200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0"/>
      <c r="BB40" s="200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0"/>
      <c r="BO40" s="200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0"/>
      <c r="CB40" s="200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0"/>
      <c r="CO40" s="200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0"/>
      <c r="DB40" s="200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0"/>
      <c r="DO40" s="200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0"/>
      <c r="EB40" s="200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0"/>
      <c r="EO40" s="200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0"/>
      <c r="FB40" s="200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0"/>
      <c r="FO40" s="200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0"/>
      <c r="GB40" s="200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0"/>
      <c r="GO40" s="200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0"/>
      <c r="HB40" s="200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0"/>
      <c r="HO40" s="200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0"/>
      <c r="IB40" s="200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0"/>
      <c r="IO40" s="200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1"/>
      <c r="B41" s="212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04"/>
      <c r="O41" s="204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00"/>
      <c r="AB41" s="200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0"/>
      <c r="AO41" s="200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5"/>
      <c r="BA41" s="200"/>
      <c r="BB41" s="200"/>
      <c r="BC41" s="205"/>
      <c r="BD41" s="205"/>
      <c r="BE41" s="205"/>
      <c r="BF41" s="205"/>
      <c r="BG41" s="205"/>
      <c r="BH41" s="205"/>
      <c r="BI41" s="205"/>
      <c r="BJ41" s="205"/>
      <c r="BK41" s="205"/>
      <c r="BL41" s="205"/>
      <c r="BM41" s="205"/>
      <c r="BN41" s="200"/>
      <c r="BO41" s="200"/>
      <c r="BP41" s="205"/>
      <c r="BQ41" s="205"/>
      <c r="BR41" s="205"/>
      <c r="BS41" s="205"/>
      <c r="BT41" s="205"/>
      <c r="BU41" s="205"/>
      <c r="BV41" s="205"/>
      <c r="BW41" s="205"/>
      <c r="BX41" s="205"/>
      <c r="BY41" s="205"/>
      <c r="BZ41" s="205"/>
      <c r="CA41" s="200"/>
      <c r="CB41" s="200"/>
      <c r="CC41" s="205"/>
      <c r="CD41" s="205"/>
      <c r="CE41" s="205"/>
      <c r="CF41" s="205"/>
      <c r="CG41" s="205"/>
      <c r="CH41" s="205"/>
      <c r="CI41" s="205"/>
      <c r="CJ41" s="205"/>
      <c r="CK41" s="205"/>
      <c r="CL41" s="205"/>
      <c r="CM41" s="205"/>
      <c r="CN41" s="200"/>
      <c r="CO41" s="200"/>
      <c r="CP41" s="205"/>
      <c r="CQ41" s="205"/>
      <c r="CR41" s="205"/>
      <c r="CS41" s="205"/>
      <c r="CT41" s="205"/>
      <c r="CU41" s="205"/>
      <c r="CV41" s="205"/>
      <c r="CW41" s="205"/>
      <c r="CX41" s="205"/>
      <c r="CY41" s="205"/>
      <c r="CZ41" s="205"/>
      <c r="DA41" s="200"/>
      <c r="DB41" s="200"/>
      <c r="DC41" s="205"/>
      <c r="DD41" s="205"/>
      <c r="DE41" s="205"/>
      <c r="DF41" s="205"/>
      <c r="DG41" s="205"/>
      <c r="DH41" s="205"/>
      <c r="DI41" s="205"/>
      <c r="DJ41" s="205"/>
      <c r="DK41" s="205"/>
      <c r="DL41" s="205"/>
      <c r="DM41" s="205"/>
      <c r="DN41" s="200"/>
      <c r="DO41" s="200"/>
      <c r="DP41" s="205"/>
      <c r="DQ41" s="205"/>
      <c r="DR41" s="205"/>
      <c r="DS41" s="205"/>
      <c r="DT41" s="205"/>
      <c r="DU41" s="205"/>
      <c r="DV41" s="205"/>
      <c r="DW41" s="205"/>
      <c r="DX41" s="205"/>
      <c r="DY41" s="205"/>
      <c r="DZ41" s="205"/>
      <c r="EA41" s="200"/>
      <c r="EB41" s="200"/>
      <c r="EC41" s="205"/>
      <c r="ED41" s="205"/>
      <c r="EE41" s="205"/>
      <c r="EF41" s="205"/>
      <c r="EG41" s="205"/>
      <c r="EH41" s="205"/>
      <c r="EI41" s="205"/>
      <c r="EJ41" s="205"/>
      <c r="EK41" s="205"/>
      <c r="EL41" s="205"/>
      <c r="EM41" s="205"/>
      <c r="EN41" s="200"/>
      <c r="EO41" s="200"/>
      <c r="EP41" s="205"/>
      <c r="EQ41" s="205"/>
      <c r="ER41" s="205"/>
      <c r="ES41" s="205"/>
      <c r="ET41" s="205"/>
      <c r="EU41" s="205"/>
      <c r="EV41" s="205"/>
      <c r="EW41" s="205"/>
      <c r="EX41" s="205"/>
      <c r="EY41" s="205"/>
      <c r="EZ41" s="205"/>
      <c r="FA41" s="200"/>
      <c r="FB41" s="200"/>
      <c r="FC41" s="205"/>
      <c r="FD41" s="205"/>
      <c r="FE41" s="205"/>
      <c r="FF41" s="205"/>
      <c r="FG41" s="205"/>
      <c r="FH41" s="205"/>
      <c r="FI41" s="205"/>
      <c r="FJ41" s="205"/>
      <c r="FK41" s="205"/>
      <c r="FL41" s="205"/>
      <c r="FM41" s="205"/>
      <c r="FN41" s="200"/>
      <c r="FO41" s="200"/>
      <c r="FP41" s="205"/>
      <c r="FQ41" s="205"/>
      <c r="FR41" s="205"/>
      <c r="FS41" s="205"/>
      <c r="FT41" s="205"/>
      <c r="FU41" s="205"/>
      <c r="FV41" s="205"/>
      <c r="FW41" s="205"/>
      <c r="FX41" s="205"/>
      <c r="FY41" s="205"/>
      <c r="FZ41" s="205"/>
      <c r="GA41" s="200"/>
      <c r="GB41" s="200"/>
      <c r="GC41" s="205"/>
      <c r="GD41" s="205"/>
      <c r="GE41" s="205"/>
      <c r="GF41" s="205"/>
      <c r="GG41" s="205"/>
      <c r="GH41" s="205"/>
      <c r="GI41" s="205"/>
      <c r="GJ41" s="205"/>
      <c r="GK41" s="205"/>
      <c r="GL41" s="205"/>
      <c r="GM41" s="205"/>
      <c r="GN41" s="200"/>
      <c r="GO41" s="200"/>
      <c r="GP41" s="205"/>
      <c r="GQ41" s="205"/>
      <c r="GR41" s="205"/>
      <c r="GS41" s="205"/>
      <c r="GT41" s="205"/>
      <c r="GU41" s="205"/>
      <c r="GV41" s="205"/>
      <c r="GW41" s="205"/>
      <c r="GX41" s="205"/>
      <c r="GY41" s="205"/>
      <c r="GZ41" s="205"/>
      <c r="HA41" s="200"/>
      <c r="HB41" s="200"/>
      <c r="HC41" s="205"/>
      <c r="HD41" s="205"/>
      <c r="HE41" s="205"/>
      <c r="HF41" s="205"/>
      <c r="HG41" s="205"/>
      <c r="HH41" s="205"/>
      <c r="HI41" s="205"/>
      <c r="HJ41" s="205"/>
      <c r="HK41" s="205"/>
      <c r="HL41" s="205"/>
      <c r="HM41" s="205"/>
      <c r="HN41" s="200"/>
      <c r="HO41" s="200"/>
      <c r="HP41" s="205"/>
      <c r="HQ41" s="205"/>
      <c r="HR41" s="205"/>
      <c r="HS41" s="205"/>
      <c r="HT41" s="205"/>
      <c r="HU41" s="205"/>
      <c r="HV41" s="205"/>
      <c r="HW41" s="205"/>
      <c r="HX41" s="205"/>
      <c r="HY41" s="205"/>
      <c r="HZ41" s="205"/>
      <c r="IA41" s="200"/>
      <c r="IB41" s="200"/>
      <c r="IC41" s="205"/>
      <c r="ID41" s="205"/>
      <c r="IE41" s="205"/>
      <c r="IF41" s="205"/>
      <c r="IG41" s="205"/>
      <c r="IH41" s="205"/>
      <c r="II41" s="205"/>
      <c r="IJ41" s="205"/>
      <c r="IK41" s="205"/>
      <c r="IL41" s="205"/>
      <c r="IM41" s="205"/>
      <c r="IN41" s="200"/>
      <c r="IO41" s="200"/>
      <c r="IP41" s="205"/>
      <c r="IQ41" s="205"/>
      <c r="IR41" s="205"/>
      <c r="IS41" s="205"/>
      <c r="IT41" s="205"/>
      <c r="IU41" s="205"/>
      <c r="IV41" s="205"/>
    </row>
    <row r="42" spans="1:256" x14ac:dyDescent="0.2">
      <c r="A42" s="211"/>
      <c r="B42" s="212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04"/>
      <c r="O42" s="204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00"/>
      <c r="AB42" s="200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0"/>
      <c r="AO42" s="200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0"/>
      <c r="BB42" s="200"/>
      <c r="BC42" s="205"/>
      <c r="BD42" s="205"/>
      <c r="BE42" s="205"/>
      <c r="BF42" s="205"/>
      <c r="BG42" s="205"/>
      <c r="BH42" s="205"/>
      <c r="BI42" s="205"/>
      <c r="BJ42" s="205"/>
      <c r="BK42" s="205"/>
      <c r="BL42" s="205"/>
      <c r="BM42" s="205"/>
      <c r="BN42" s="200"/>
      <c r="BO42" s="200"/>
      <c r="BP42" s="205"/>
      <c r="BQ42" s="205"/>
      <c r="BR42" s="205"/>
      <c r="BS42" s="205"/>
      <c r="BT42" s="205"/>
      <c r="BU42" s="205"/>
      <c r="BV42" s="205"/>
      <c r="BW42" s="205"/>
      <c r="BX42" s="205"/>
      <c r="BY42" s="205"/>
      <c r="BZ42" s="205"/>
      <c r="CA42" s="200"/>
      <c r="CB42" s="200"/>
      <c r="CC42" s="205"/>
      <c r="CD42" s="205"/>
      <c r="CE42" s="205"/>
      <c r="CF42" s="205"/>
      <c r="CG42" s="205"/>
      <c r="CH42" s="205"/>
      <c r="CI42" s="205"/>
      <c r="CJ42" s="205"/>
      <c r="CK42" s="205"/>
      <c r="CL42" s="205"/>
      <c r="CM42" s="205"/>
      <c r="CN42" s="200"/>
      <c r="CO42" s="200"/>
      <c r="CP42" s="205"/>
      <c r="CQ42" s="205"/>
      <c r="CR42" s="205"/>
      <c r="CS42" s="205"/>
      <c r="CT42" s="205"/>
      <c r="CU42" s="205"/>
      <c r="CV42" s="205"/>
      <c r="CW42" s="205"/>
      <c r="CX42" s="205"/>
      <c r="CY42" s="205"/>
      <c r="CZ42" s="205"/>
      <c r="DA42" s="200"/>
      <c r="DB42" s="200"/>
      <c r="DC42" s="205"/>
      <c r="DD42" s="205"/>
      <c r="DE42" s="205"/>
      <c r="DF42" s="205"/>
      <c r="DG42" s="205"/>
      <c r="DH42" s="205"/>
      <c r="DI42" s="205"/>
      <c r="DJ42" s="205"/>
      <c r="DK42" s="205"/>
      <c r="DL42" s="205"/>
      <c r="DM42" s="205"/>
      <c r="DN42" s="200"/>
      <c r="DO42" s="200"/>
      <c r="DP42" s="205"/>
      <c r="DQ42" s="205"/>
      <c r="DR42" s="205"/>
      <c r="DS42" s="205"/>
      <c r="DT42" s="205"/>
      <c r="DU42" s="205"/>
      <c r="DV42" s="205"/>
      <c r="DW42" s="205"/>
      <c r="DX42" s="205"/>
      <c r="DY42" s="205"/>
      <c r="DZ42" s="205"/>
      <c r="EA42" s="200"/>
      <c r="EB42" s="200"/>
      <c r="EC42" s="205"/>
      <c r="ED42" s="205"/>
      <c r="EE42" s="205"/>
      <c r="EF42" s="205"/>
      <c r="EG42" s="205"/>
      <c r="EH42" s="205"/>
      <c r="EI42" s="205"/>
      <c r="EJ42" s="205"/>
      <c r="EK42" s="205"/>
      <c r="EL42" s="205"/>
      <c r="EM42" s="205"/>
      <c r="EN42" s="200"/>
      <c r="EO42" s="200"/>
      <c r="EP42" s="205"/>
      <c r="EQ42" s="205"/>
      <c r="ER42" s="205"/>
      <c r="ES42" s="205"/>
      <c r="ET42" s="205"/>
      <c r="EU42" s="205"/>
      <c r="EV42" s="205"/>
      <c r="EW42" s="205"/>
      <c r="EX42" s="205"/>
      <c r="EY42" s="205"/>
      <c r="EZ42" s="205"/>
      <c r="FA42" s="200"/>
      <c r="FB42" s="200"/>
      <c r="FC42" s="205"/>
      <c r="FD42" s="205"/>
      <c r="FE42" s="205"/>
      <c r="FF42" s="205"/>
      <c r="FG42" s="205"/>
      <c r="FH42" s="205"/>
      <c r="FI42" s="205"/>
      <c r="FJ42" s="205"/>
      <c r="FK42" s="205"/>
      <c r="FL42" s="205"/>
      <c r="FM42" s="205"/>
      <c r="FN42" s="200"/>
      <c r="FO42" s="200"/>
      <c r="FP42" s="205"/>
      <c r="FQ42" s="205"/>
      <c r="FR42" s="205"/>
      <c r="FS42" s="205"/>
      <c r="FT42" s="205"/>
      <c r="FU42" s="205"/>
      <c r="FV42" s="205"/>
      <c r="FW42" s="205"/>
      <c r="FX42" s="205"/>
      <c r="FY42" s="205"/>
      <c r="FZ42" s="205"/>
      <c r="GA42" s="200"/>
      <c r="GB42" s="200"/>
      <c r="GC42" s="205"/>
      <c r="GD42" s="205"/>
      <c r="GE42" s="205"/>
      <c r="GF42" s="205"/>
      <c r="GG42" s="205"/>
      <c r="GH42" s="205"/>
      <c r="GI42" s="205"/>
      <c r="GJ42" s="205"/>
      <c r="GK42" s="205"/>
      <c r="GL42" s="205"/>
      <c r="GM42" s="205"/>
      <c r="GN42" s="200"/>
      <c r="GO42" s="200"/>
      <c r="GP42" s="205"/>
      <c r="GQ42" s="205"/>
      <c r="GR42" s="205"/>
      <c r="GS42" s="205"/>
      <c r="GT42" s="205"/>
      <c r="GU42" s="205"/>
      <c r="GV42" s="205"/>
      <c r="GW42" s="205"/>
      <c r="GX42" s="205"/>
      <c r="GY42" s="205"/>
      <c r="GZ42" s="205"/>
      <c r="HA42" s="200"/>
      <c r="HB42" s="200"/>
      <c r="HC42" s="205"/>
      <c r="HD42" s="205"/>
      <c r="HE42" s="205"/>
      <c r="HF42" s="205"/>
      <c r="HG42" s="205"/>
      <c r="HH42" s="205"/>
      <c r="HI42" s="205"/>
      <c r="HJ42" s="205"/>
      <c r="HK42" s="205"/>
      <c r="HL42" s="205"/>
      <c r="HM42" s="205"/>
      <c r="HN42" s="200"/>
      <c r="HO42" s="200"/>
      <c r="HP42" s="205"/>
      <c r="HQ42" s="205"/>
      <c r="HR42" s="205"/>
      <c r="HS42" s="205"/>
      <c r="HT42" s="205"/>
      <c r="HU42" s="205"/>
      <c r="HV42" s="205"/>
      <c r="HW42" s="205"/>
      <c r="HX42" s="205"/>
      <c r="HY42" s="205"/>
      <c r="HZ42" s="205"/>
      <c r="IA42" s="200"/>
      <c r="IB42" s="200"/>
      <c r="IC42" s="205"/>
      <c r="ID42" s="205"/>
      <c r="IE42" s="205"/>
      <c r="IF42" s="205"/>
      <c r="IG42" s="205"/>
      <c r="IH42" s="205"/>
      <c r="II42" s="205"/>
      <c r="IJ42" s="205"/>
      <c r="IK42" s="205"/>
      <c r="IL42" s="205"/>
      <c r="IM42" s="205"/>
      <c r="IN42" s="200"/>
      <c r="IO42" s="200"/>
      <c r="IP42" s="205"/>
      <c r="IQ42" s="205"/>
      <c r="IR42" s="205"/>
      <c r="IS42" s="205"/>
      <c r="IT42" s="205"/>
      <c r="IU42" s="205"/>
      <c r="IV42" s="205"/>
    </row>
    <row r="43" spans="1:256" x14ac:dyDescent="0.2">
      <c r="A43" s="211"/>
      <c r="B43" s="212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04"/>
      <c r="O43" s="204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00"/>
      <c r="AB43" s="200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0"/>
      <c r="AO43" s="200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0"/>
      <c r="BB43" s="200"/>
      <c r="BC43" s="205"/>
      <c r="BD43" s="205"/>
      <c r="BE43" s="205"/>
      <c r="BF43" s="205"/>
      <c r="BG43" s="205"/>
      <c r="BH43" s="205"/>
      <c r="BI43" s="205"/>
      <c r="BJ43" s="205"/>
      <c r="BK43" s="205"/>
      <c r="BL43" s="205"/>
      <c r="BM43" s="205"/>
      <c r="BN43" s="200"/>
      <c r="BO43" s="200"/>
      <c r="BP43" s="205"/>
      <c r="BQ43" s="205"/>
      <c r="BR43" s="205"/>
      <c r="BS43" s="205"/>
      <c r="BT43" s="205"/>
      <c r="BU43" s="205"/>
      <c r="BV43" s="205"/>
      <c r="BW43" s="205"/>
      <c r="BX43" s="205"/>
      <c r="BY43" s="205"/>
      <c r="BZ43" s="205"/>
      <c r="CA43" s="200"/>
      <c r="CB43" s="200"/>
      <c r="CC43" s="205"/>
      <c r="CD43" s="205"/>
      <c r="CE43" s="205"/>
      <c r="CF43" s="205"/>
      <c r="CG43" s="205"/>
      <c r="CH43" s="205"/>
      <c r="CI43" s="205"/>
      <c r="CJ43" s="205"/>
      <c r="CK43" s="205"/>
      <c r="CL43" s="205"/>
      <c r="CM43" s="205"/>
      <c r="CN43" s="200"/>
      <c r="CO43" s="200"/>
      <c r="CP43" s="205"/>
      <c r="CQ43" s="205"/>
      <c r="CR43" s="205"/>
      <c r="CS43" s="205"/>
      <c r="CT43" s="205"/>
      <c r="CU43" s="205"/>
      <c r="CV43" s="205"/>
      <c r="CW43" s="205"/>
      <c r="CX43" s="205"/>
      <c r="CY43" s="205"/>
      <c r="CZ43" s="205"/>
      <c r="DA43" s="200"/>
      <c r="DB43" s="200"/>
      <c r="DC43" s="205"/>
      <c r="DD43" s="205"/>
      <c r="DE43" s="205"/>
      <c r="DF43" s="205"/>
      <c r="DG43" s="205"/>
      <c r="DH43" s="205"/>
      <c r="DI43" s="205"/>
      <c r="DJ43" s="205"/>
      <c r="DK43" s="205"/>
      <c r="DL43" s="205"/>
      <c r="DM43" s="205"/>
      <c r="DN43" s="200"/>
      <c r="DO43" s="200"/>
      <c r="DP43" s="205"/>
      <c r="DQ43" s="205"/>
      <c r="DR43" s="205"/>
      <c r="DS43" s="205"/>
      <c r="DT43" s="205"/>
      <c r="DU43" s="205"/>
      <c r="DV43" s="205"/>
      <c r="DW43" s="205"/>
      <c r="DX43" s="205"/>
      <c r="DY43" s="205"/>
      <c r="DZ43" s="205"/>
      <c r="EA43" s="200"/>
      <c r="EB43" s="200"/>
      <c r="EC43" s="205"/>
      <c r="ED43" s="205"/>
      <c r="EE43" s="205"/>
      <c r="EF43" s="205"/>
      <c r="EG43" s="205"/>
      <c r="EH43" s="205"/>
      <c r="EI43" s="205"/>
      <c r="EJ43" s="205"/>
      <c r="EK43" s="205"/>
      <c r="EL43" s="205"/>
      <c r="EM43" s="205"/>
      <c r="EN43" s="200"/>
      <c r="EO43" s="200"/>
      <c r="EP43" s="205"/>
      <c r="EQ43" s="205"/>
      <c r="ER43" s="205"/>
      <c r="ES43" s="205"/>
      <c r="ET43" s="205"/>
      <c r="EU43" s="205"/>
      <c r="EV43" s="205"/>
      <c r="EW43" s="205"/>
      <c r="EX43" s="205"/>
      <c r="EY43" s="205"/>
      <c r="EZ43" s="205"/>
      <c r="FA43" s="200"/>
      <c r="FB43" s="200"/>
      <c r="FC43" s="205"/>
      <c r="FD43" s="205"/>
      <c r="FE43" s="205"/>
      <c r="FF43" s="205"/>
      <c r="FG43" s="205"/>
      <c r="FH43" s="205"/>
      <c r="FI43" s="205"/>
      <c r="FJ43" s="205"/>
      <c r="FK43" s="205"/>
      <c r="FL43" s="205"/>
      <c r="FM43" s="205"/>
      <c r="FN43" s="200"/>
      <c r="FO43" s="200"/>
      <c r="FP43" s="205"/>
      <c r="FQ43" s="205"/>
      <c r="FR43" s="205"/>
      <c r="FS43" s="205"/>
      <c r="FT43" s="205"/>
      <c r="FU43" s="205"/>
      <c r="FV43" s="205"/>
      <c r="FW43" s="205"/>
      <c r="FX43" s="205"/>
      <c r="FY43" s="205"/>
      <c r="FZ43" s="205"/>
      <c r="GA43" s="200"/>
      <c r="GB43" s="200"/>
      <c r="GC43" s="205"/>
      <c r="GD43" s="205"/>
      <c r="GE43" s="205"/>
      <c r="GF43" s="205"/>
      <c r="GG43" s="205"/>
      <c r="GH43" s="205"/>
      <c r="GI43" s="205"/>
      <c r="GJ43" s="205"/>
      <c r="GK43" s="205"/>
      <c r="GL43" s="205"/>
      <c r="GM43" s="205"/>
      <c r="GN43" s="200"/>
      <c r="GO43" s="200"/>
      <c r="GP43" s="205"/>
      <c r="GQ43" s="205"/>
      <c r="GR43" s="205"/>
      <c r="GS43" s="205"/>
      <c r="GT43" s="205"/>
      <c r="GU43" s="205"/>
      <c r="GV43" s="205"/>
      <c r="GW43" s="205"/>
      <c r="GX43" s="205"/>
      <c r="GY43" s="205"/>
      <c r="GZ43" s="205"/>
      <c r="HA43" s="200"/>
      <c r="HB43" s="200"/>
      <c r="HC43" s="205"/>
      <c r="HD43" s="205"/>
      <c r="HE43" s="205"/>
      <c r="HF43" s="205"/>
      <c r="HG43" s="205"/>
      <c r="HH43" s="205"/>
      <c r="HI43" s="205"/>
      <c r="HJ43" s="205"/>
      <c r="HK43" s="205"/>
      <c r="HL43" s="205"/>
      <c r="HM43" s="205"/>
      <c r="HN43" s="200"/>
      <c r="HO43" s="200"/>
      <c r="HP43" s="205"/>
      <c r="HQ43" s="205"/>
      <c r="HR43" s="205"/>
      <c r="HS43" s="205"/>
      <c r="HT43" s="205"/>
      <c r="HU43" s="205"/>
      <c r="HV43" s="205"/>
      <c r="HW43" s="205"/>
      <c r="HX43" s="205"/>
      <c r="HY43" s="205"/>
      <c r="HZ43" s="205"/>
      <c r="IA43" s="200"/>
      <c r="IB43" s="200"/>
      <c r="IC43" s="205"/>
      <c r="ID43" s="205"/>
      <c r="IE43" s="205"/>
      <c r="IF43" s="205"/>
      <c r="IG43" s="205"/>
      <c r="IH43" s="205"/>
      <c r="II43" s="205"/>
      <c r="IJ43" s="205"/>
      <c r="IK43" s="205"/>
      <c r="IL43" s="205"/>
      <c r="IM43" s="205"/>
      <c r="IN43" s="200"/>
      <c r="IO43" s="200"/>
      <c r="IP43" s="205"/>
      <c r="IQ43" s="205"/>
      <c r="IR43" s="205"/>
      <c r="IS43" s="205"/>
      <c r="IT43" s="205"/>
      <c r="IU43" s="205"/>
      <c r="IV43" s="205"/>
    </row>
    <row r="44" spans="1:256" x14ac:dyDescent="0.2">
      <c r="A44" s="211"/>
      <c r="B44" s="212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04"/>
      <c r="O44" s="204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00"/>
      <c r="AB44" s="200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0"/>
      <c r="AO44" s="200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0"/>
      <c r="BB44" s="200"/>
      <c r="BC44" s="205"/>
      <c r="BD44" s="205"/>
      <c r="BE44" s="205"/>
      <c r="BF44" s="205"/>
      <c r="BG44" s="205"/>
      <c r="BH44" s="205"/>
      <c r="BI44" s="205"/>
      <c r="BJ44" s="205"/>
      <c r="BK44" s="205"/>
      <c r="BL44" s="205"/>
      <c r="BM44" s="205"/>
      <c r="BN44" s="200"/>
      <c r="BO44" s="200"/>
      <c r="BP44" s="205"/>
      <c r="BQ44" s="205"/>
      <c r="BR44" s="205"/>
      <c r="BS44" s="205"/>
      <c r="BT44" s="205"/>
      <c r="BU44" s="205"/>
      <c r="BV44" s="205"/>
      <c r="BW44" s="205"/>
      <c r="BX44" s="205"/>
      <c r="BY44" s="205"/>
      <c r="BZ44" s="205"/>
      <c r="CA44" s="200"/>
      <c r="CB44" s="200"/>
      <c r="CC44" s="205"/>
      <c r="CD44" s="205"/>
      <c r="CE44" s="205"/>
      <c r="CF44" s="205"/>
      <c r="CG44" s="205"/>
      <c r="CH44" s="205"/>
      <c r="CI44" s="205"/>
      <c r="CJ44" s="205"/>
      <c r="CK44" s="205"/>
      <c r="CL44" s="205"/>
      <c r="CM44" s="205"/>
      <c r="CN44" s="200"/>
      <c r="CO44" s="200"/>
      <c r="CP44" s="205"/>
      <c r="CQ44" s="205"/>
      <c r="CR44" s="205"/>
      <c r="CS44" s="205"/>
      <c r="CT44" s="205"/>
      <c r="CU44" s="205"/>
      <c r="CV44" s="205"/>
      <c r="CW44" s="205"/>
      <c r="CX44" s="205"/>
      <c r="CY44" s="205"/>
      <c r="CZ44" s="205"/>
      <c r="DA44" s="200"/>
      <c r="DB44" s="200"/>
      <c r="DC44" s="205"/>
      <c r="DD44" s="205"/>
      <c r="DE44" s="205"/>
      <c r="DF44" s="205"/>
      <c r="DG44" s="205"/>
      <c r="DH44" s="205"/>
      <c r="DI44" s="205"/>
      <c r="DJ44" s="205"/>
      <c r="DK44" s="205"/>
      <c r="DL44" s="205"/>
      <c r="DM44" s="205"/>
      <c r="DN44" s="200"/>
      <c r="DO44" s="200"/>
      <c r="DP44" s="205"/>
      <c r="DQ44" s="205"/>
      <c r="DR44" s="205"/>
      <c r="DS44" s="205"/>
      <c r="DT44" s="205"/>
      <c r="DU44" s="205"/>
      <c r="DV44" s="205"/>
      <c r="DW44" s="205"/>
      <c r="DX44" s="205"/>
      <c r="DY44" s="205"/>
      <c r="DZ44" s="205"/>
      <c r="EA44" s="200"/>
      <c r="EB44" s="200"/>
      <c r="EC44" s="205"/>
      <c r="ED44" s="205"/>
      <c r="EE44" s="205"/>
      <c r="EF44" s="205"/>
      <c r="EG44" s="205"/>
      <c r="EH44" s="205"/>
      <c r="EI44" s="205"/>
      <c r="EJ44" s="205"/>
      <c r="EK44" s="205"/>
      <c r="EL44" s="205"/>
      <c r="EM44" s="205"/>
      <c r="EN44" s="200"/>
      <c r="EO44" s="200"/>
      <c r="EP44" s="205"/>
      <c r="EQ44" s="205"/>
      <c r="ER44" s="205"/>
      <c r="ES44" s="205"/>
      <c r="ET44" s="205"/>
      <c r="EU44" s="205"/>
      <c r="EV44" s="205"/>
      <c r="EW44" s="205"/>
      <c r="EX44" s="205"/>
      <c r="EY44" s="205"/>
      <c r="EZ44" s="205"/>
      <c r="FA44" s="200"/>
      <c r="FB44" s="200"/>
      <c r="FC44" s="205"/>
      <c r="FD44" s="205"/>
      <c r="FE44" s="205"/>
      <c r="FF44" s="205"/>
      <c r="FG44" s="205"/>
      <c r="FH44" s="205"/>
      <c r="FI44" s="205"/>
      <c r="FJ44" s="205"/>
      <c r="FK44" s="205"/>
      <c r="FL44" s="205"/>
      <c r="FM44" s="205"/>
      <c r="FN44" s="200"/>
      <c r="FO44" s="200"/>
      <c r="FP44" s="205"/>
      <c r="FQ44" s="205"/>
      <c r="FR44" s="205"/>
      <c r="FS44" s="205"/>
      <c r="FT44" s="205"/>
      <c r="FU44" s="205"/>
      <c r="FV44" s="205"/>
      <c r="FW44" s="205"/>
      <c r="FX44" s="205"/>
      <c r="FY44" s="205"/>
      <c r="FZ44" s="205"/>
      <c r="GA44" s="200"/>
      <c r="GB44" s="200"/>
      <c r="GC44" s="205"/>
      <c r="GD44" s="205"/>
      <c r="GE44" s="205"/>
      <c r="GF44" s="205"/>
      <c r="GG44" s="205"/>
      <c r="GH44" s="205"/>
      <c r="GI44" s="205"/>
      <c r="GJ44" s="205"/>
      <c r="GK44" s="205"/>
      <c r="GL44" s="205"/>
      <c r="GM44" s="205"/>
      <c r="GN44" s="200"/>
      <c r="GO44" s="200"/>
      <c r="GP44" s="205"/>
      <c r="GQ44" s="205"/>
      <c r="GR44" s="205"/>
      <c r="GS44" s="205"/>
      <c r="GT44" s="205"/>
      <c r="GU44" s="205"/>
      <c r="GV44" s="205"/>
      <c r="GW44" s="205"/>
      <c r="GX44" s="205"/>
      <c r="GY44" s="205"/>
      <c r="GZ44" s="205"/>
      <c r="HA44" s="200"/>
      <c r="HB44" s="200"/>
      <c r="HC44" s="205"/>
      <c r="HD44" s="205"/>
      <c r="HE44" s="205"/>
      <c r="HF44" s="205"/>
      <c r="HG44" s="205"/>
      <c r="HH44" s="205"/>
      <c r="HI44" s="205"/>
      <c r="HJ44" s="205"/>
      <c r="HK44" s="205"/>
      <c r="HL44" s="205"/>
      <c r="HM44" s="205"/>
      <c r="HN44" s="200"/>
      <c r="HO44" s="200"/>
      <c r="HP44" s="205"/>
      <c r="HQ44" s="205"/>
      <c r="HR44" s="205"/>
      <c r="HS44" s="205"/>
      <c r="HT44" s="205"/>
      <c r="HU44" s="205"/>
      <c r="HV44" s="205"/>
      <c r="HW44" s="205"/>
      <c r="HX44" s="205"/>
      <c r="HY44" s="205"/>
      <c r="HZ44" s="205"/>
      <c r="IA44" s="200"/>
      <c r="IB44" s="200"/>
      <c r="IC44" s="205"/>
      <c r="ID44" s="205"/>
      <c r="IE44" s="205"/>
      <c r="IF44" s="205"/>
      <c r="IG44" s="205"/>
      <c r="IH44" s="205"/>
      <c r="II44" s="205"/>
      <c r="IJ44" s="205"/>
      <c r="IK44" s="205"/>
      <c r="IL44" s="205"/>
      <c r="IM44" s="205"/>
      <c r="IN44" s="200"/>
      <c r="IO44" s="200"/>
      <c r="IP44" s="205"/>
      <c r="IQ44" s="205"/>
      <c r="IR44" s="205"/>
      <c r="IS44" s="205"/>
      <c r="IT44" s="205"/>
      <c r="IU44" s="205"/>
      <c r="IV44" s="205"/>
    </row>
    <row r="45" spans="1:256" x14ac:dyDescent="0.2">
      <c r="A45" s="211"/>
      <c r="B45" s="212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04"/>
      <c r="O45" s="204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00"/>
      <c r="AB45" s="200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0"/>
      <c r="AO45" s="200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0"/>
      <c r="BB45" s="200"/>
      <c r="BC45" s="205"/>
      <c r="BD45" s="205"/>
      <c r="BE45" s="205"/>
      <c r="BF45" s="205"/>
      <c r="BG45" s="205"/>
      <c r="BH45" s="205"/>
      <c r="BI45" s="205"/>
      <c r="BJ45" s="205"/>
      <c r="BK45" s="205"/>
      <c r="BL45" s="205"/>
      <c r="BM45" s="205"/>
      <c r="BN45" s="200"/>
      <c r="BO45" s="200"/>
      <c r="BP45" s="205"/>
      <c r="BQ45" s="205"/>
      <c r="BR45" s="205"/>
      <c r="BS45" s="205"/>
      <c r="BT45" s="205"/>
      <c r="BU45" s="205"/>
      <c r="BV45" s="205"/>
      <c r="BW45" s="205"/>
      <c r="BX45" s="205"/>
      <c r="BY45" s="205"/>
      <c r="BZ45" s="205"/>
      <c r="CA45" s="200"/>
      <c r="CB45" s="200"/>
      <c r="CC45" s="205"/>
      <c r="CD45" s="205"/>
      <c r="CE45" s="205"/>
      <c r="CF45" s="205"/>
      <c r="CG45" s="205"/>
      <c r="CH45" s="205"/>
      <c r="CI45" s="205"/>
      <c r="CJ45" s="205"/>
      <c r="CK45" s="205"/>
      <c r="CL45" s="205"/>
      <c r="CM45" s="205"/>
      <c r="CN45" s="200"/>
      <c r="CO45" s="200"/>
      <c r="CP45" s="205"/>
      <c r="CQ45" s="205"/>
      <c r="CR45" s="205"/>
      <c r="CS45" s="205"/>
      <c r="CT45" s="205"/>
      <c r="CU45" s="205"/>
      <c r="CV45" s="205"/>
      <c r="CW45" s="205"/>
      <c r="CX45" s="205"/>
      <c r="CY45" s="205"/>
      <c r="CZ45" s="205"/>
      <c r="DA45" s="200"/>
      <c r="DB45" s="200"/>
      <c r="DC45" s="205"/>
      <c r="DD45" s="205"/>
      <c r="DE45" s="205"/>
      <c r="DF45" s="205"/>
      <c r="DG45" s="205"/>
      <c r="DH45" s="205"/>
      <c r="DI45" s="205"/>
      <c r="DJ45" s="205"/>
      <c r="DK45" s="205"/>
      <c r="DL45" s="205"/>
      <c r="DM45" s="205"/>
      <c r="DN45" s="200"/>
      <c r="DO45" s="200"/>
      <c r="DP45" s="205"/>
      <c r="DQ45" s="205"/>
      <c r="DR45" s="205"/>
      <c r="DS45" s="205"/>
      <c r="DT45" s="205"/>
      <c r="DU45" s="205"/>
      <c r="DV45" s="205"/>
      <c r="DW45" s="205"/>
      <c r="DX45" s="205"/>
      <c r="DY45" s="205"/>
      <c r="DZ45" s="205"/>
      <c r="EA45" s="200"/>
      <c r="EB45" s="200"/>
      <c r="EC45" s="205"/>
      <c r="ED45" s="205"/>
      <c r="EE45" s="205"/>
      <c r="EF45" s="205"/>
      <c r="EG45" s="205"/>
      <c r="EH45" s="205"/>
      <c r="EI45" s="205"/>
      <c r="EJ45" s="205"/>
      <c r="EK45" s="205"/>
      <c r="EL45" s="205"/>
      <c r="EM45" s="205"/>
      <c r="EN45" s="200"/>
      <c r="EO45" s="200"/>
      <c r="EP45" s="205"/>
      <c r="EQ45" s="205"/>
      <c r="ER45" s="205"/>
      <c r="ES45" s="205"/>
      <c r="ET45" s="205"/>
      <c r="EU45" s="205"/>
      <c r="EV45" s="205"/>
      <c r="EW45" s="205"/>
      <c r="EX45" s="205"/>
      <c r="EY45" s="205"/>
      <c r="EZ45" s="205"/>
      <c r="FA45" s="200"/>
      <c r="FB45" s="200"/>
      <c r="FC45" s="205"/>
      <c r="FD45" s="205"/>
      <c r="FE45" s="205"/>
      <c r="FF45" s="205"/>
      <c r="FG45" s="205"/>
      <c r="FH45" s="205"/>
      <c r="FI45" s="205"/>
      <c r="FJ45" s="205"/>
      <c r="FK45" s="205"/>
      <c r="FL45" s="205"/>
      <c r="FM45" s="205"/>
      <c r="FN45" s="200"/>
      <c r="FO45" s="200"/>
      <c r="FP45" s="205"/>
      <c r="FQ45" s="205"/>
      <c r="FR45" s="205"/>
      <c r="FS45" s="205"/>
      <c r="FT45" s="205"/>
      <c r="FU45" s="205"/>
      <c r="FV45" s="205"/>
      <c r="FW45" s="205"/>
      <c r="FX45" s="205"/>
      <c r="FY45" s="205"/>
      <c r="FZ45" s="205"/>
      <c r="GA45" s="200"/>
      <c r="GB45" s="200"/>
      <c r="GC45" s="205"/>
      <c r="GD45" s="205"/>
      <c r="GE45" s="205"/>
      <c r="GF45" s="205"/>
      <c r="GG45" s="205"/>
      <c r="GH45" s="205"/>
      <c r="GI45" s="205"/>
      <c r="GJ45" s="205"/>
      <c r="GK45" s="205"/>
      <c r="GL45" s="205"/>
      <c r="GM45" s="205"/>
      <c r="GN45" s="200"/>
      <c r="GO45" s="200"/>
      <c r="GP45" s="205"/>
      <c r="GQ45" s="205"/>
      <c r="GR45" s="205"/>
      <c r="GS45" s="205"/>
      <c r="GT45" s="205"/>
      <c r="GU45" s="205"/>
      <c r="GV45" s="205"/>
      <c r="GW45" s="205"/>
      <c r="GX45" s="205"/>
      <c r="GY45" s="205"/>
      <c r="GZ45" s="205"/>
      <c r="HA45" s="200"/>
      <c r="HB45" s="200"/>
      <c r="HC45" s="205"/>
      <c r="HD45" s="205"/>
      <c r="HE45" s="205"/>
      <c r="HF45" s="205"/>
      <c r="HG45" s="205"/>
      <c r="HH45" s="205"/>
      <c r="HI45" s="205"/>
      <c r="HJ45" s="205"/>
      <c r="HK45" s="205"/>
      <c r="HL45" s="205"/>
      <c r="HM45" s="205"/>
      <c r="HN45" s="200"/>
      <c r="HO45" s="200"/>
      <c r="HP45" s="205"/>
      <c r="HQ45" s="205"/>
      <c r="HR45" s="205"/>
      <c r="HS45" s="205"/>
      <c r="HT45" s="205"/>
      <c r="HU45" s="205"/>
      <c r="HV45" s="205"/>
      <c r="HW45" s="205"/>
      <c r="HX45" s="205"/>
      <c r="HY45" s="205"/>
      <c r="HZ45" s="205"/>
      <c r="IA45" s="200"/>
      <c r="IB45" s="200"/>
      <c r="IC45" s="205"/>
      <c r="ID45" s="205"/>
      <c r="IE45" s="205"/>
      <c r="IF45" s="205"/>
      <c r="IG45" s="205"/>
      <c r="IH45" s="205"/>
      <c r="II45" s="205"/>
      <c r="IJ45" s="205"/>
      <c r="IK45" s="205"/>
      <c r="IL45" s="205"/>
      <c r="IM45" s="205"/>
      <c r="IN45" s="200"/>
      <c r="IO45" s="200"/>
      <c r="IP45" s="205"/>
      <c r="IQ45" s="205"/>
      <c r="IR45" s="205"/>
      <c r="IS45" s="205"/>
      <c r="IT45" s="205"/>
      <c r="IU45" s="205"/>
      <c r="IV45" s="205"/>
    </row>
    <row r="46" spans="1:256" x14ac:dyDescent="0.2">
      <c r="A46" s="211"/>
      <c r="B46" s="212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04"/>
      <c r="O46" s="204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00"/>
      <c r="AB46" s="200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0"/>
      <c r="AO46" s="200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0"/>
      <c r="BB46" s="200"/>
      <c r="BC46" s="205"/>
      <c r="BD46" s="205"/>
      <c r="BE46" s="205"/>
      <c r="BF46" s="205"/>
      <c r="BG46" s="205"/>
      <c r="BH46" s="205"/>
      <c r="BI46" s="205"/>
      <c r="BJ46" s="205"/>
      <c r="BK46" s="205"/>
      <c r="BL46" s="205"/>
      <c r="BM46" s="205"/>
      <c r="BN46" s="200"/>
      <c r="BO46" s="200"/>
      <c r="BP46" s="205"/>
      <c r="BQ46" s="205"/>
      <c r="BR46" s="205"/>
      <c r="BS46" s="205"/>
      <c r="BT46" s="205"/>
      <c r="BU46" s="205"/>
      <c r="BV46" s="205"/>
      <c r="BW46" s="205"/>
      <c r="BX46" s="205"/>
      <c r="BY46" s="205"/>
      <c r="BZ46" s="205"/>
      <c r="CA46" s="200"/>
      <c r="CB46" s="200"/>
      <c r="CC46" s="205"/>
      <c r="CD46" s="205"/>
      <c r="CE46" s="205"/>
      <c r="CF46" s="205"/>
      <c r="CG46" s="205"/>
      <c r="CH46" s="205"/>
      <c r="CI46" s="205"/>
      <c r="CJ46" s="205"/>
      <c r="CK46" s="205"/>
      <c r="CL46" s="205"/>
      <c r="CM46" s="205"/>
      <c r="CN46" s="200"/>
      <c r="CO46" s="200"/>
      <c r="CP46" s="205"/>
      <c r="CQ46" s="205"/>
      <c r="CR46" s="205"/>
      <c r="CS46" s="205"/>
      <c r="CT46" s="205"/>
      <c r="CU46" s="205"/>
      <c r="CV46" s="205"/>
      <c r="CW46" s="205"/>
      <c r="CX46" s="205"/>
      <c r="CY46" s="205"/>
      <c r="CZ46" s="205"/>
      <c r="DA46" s="200"/>
      <c r="DB46" s="200"/>
      <c r="DC46" s="205"/>
      <c r="DD46" s="205"/>
      <c r="DE46" s="205"/>
      <c r="DF46" s="205"/>
      <c r="DG46" s="205"/>
      <c r="DH46" s="205"/>
      <c r="DI46" s="205"/>
      <c r="DJ46" s="205"/>
      <c r="DK46" s="205"/>
      <c r="DL46" s="205"/>
      <c r="DM46" s="205"/>
      <c r="DN46" s="200"/>
      <c r="DO46" s="200"/>
      <c r="DP46" s="205"/>
      <c r="DQ46" s="205"/>
      <c r="DR46" s="205"/>
      <c r="DS46" s="205"/>
      <c r="DT46" s="205"/>
      <c r="DU46" s="205"/>
      <c r="DV46" s="205"/>
      <c r="DW46" s="205"/>
      <c r="DX46" s="205"/>
      <c r="DY46" s="205"/>
      <c r="DZ46" s="205"/>
      <c r="EA46" s="200"/>
      <c r="EB46" s="200"/>
      <c r="EC46" s="205"/>
      <c r="ED46" s="205"/>
      <c r="EE46" s="205"/>
      <c r="EF46" s="205"/>
      <c r="EG46" s="205"/>
      <c r="EH46" s="205"/>
      <c r="EI46" s="205"/>
      <c r="EJ46" s="205"/>
      <c r="EK46" s="205"/>
      <c r="EL46" s="205"/>
      <c r="EM46" s="205"/>
      <c r="EN46" s="200"/>
      <c r="EO46" s="200"/>
      <c r="EP46" s="205"/>
      <c r="EQ46" s="205"/>
      <c r="ER46" s="205"/>
      <c r="ES46" s="205"/>
      <c r="ET46" s="205"/>
      <c r="EU46" s="205"/>
      <c r="EV46" s="205"/>
      <c r="EW46" s="205"/>
      <c r="EX46" s="205"/>
      <c r="EY46" s="205"/>
      <c r="EZ46" s="205"/>
      <c r="FA46" s="200"/>
      <c r="FB46" s="200"/>
      <c r="FC46" s="205"/>
      <c r="FD46" s="205"/>
      <c r="FE46" s="205"/>
      <c r="FF46" s="205"/>
      <c r="FG46" s="205"/>
      <c r="FH46" s="205"/>
      <c r="FI46" s="205"/>
      <c r="FJ46" s="205"/>
      <c r="FK46" s="205"/>
      <c r="FL46" s="205"/>
      <c r="FM46" s="205"/>
      <c r="FN46" s="200"/>
      <c r="FO46" s="200"/>
      <c r="FP46" s="205"/>
      <c r="FQ46" s="205"/>
      <c r="FR46" s="205"/>
      <c r="FS46" s="205"/>
      <c r="FT46" s="205"/>
      <c r="FU46" s="205"/>
      <c r="FV46" s="205"/>
      <c r="FW46" s="205"/>
      <c r="FX46" s="205"/>
      <c r="FY46" s="205"/>
      <c r="FZ46" s="205"/>
      <c r="GA46" s="200"/>
      <c r="GB46" s="200"/>
      <c r="GC46" s="205"/>
      <c r="GD46" s="205"/>
      <c r="GE46" s="205"/>
      <c r="GF46" s="205"/>
      <c r="GG46" s="205"/>
      <c r="GH46" s="205"/>
      <c r="GI46" s="205"/>
      <c r="GJ46" s="205"/>
      <c r="GK46" s="205"/>
      <c r="GL46" s="205"/>
      <c r="GM46" s="205"/>
      <c r="GN46" s="200"/>
      <c r="GO46" s="200"/>
      <c r="GP46" s="205"/>
      <c r="GQ46" s="205"/>
      <c r="GR46" s="205"/>
      <c r="GS46" s="205"/>
      <c r="GT46" s="205"/>
      <c r="GU46" s="205"/>
      <c r="GV46" s="205"/>
      <c r="GW46" s="205"/>
      <c r="GX46" s="205"/>
      <c r="GY46" s="205"/>
      <c r="GZ46" s="205"/>
      <c r="HA46" s="200"/>
      <c r="HB46" s="200"/>
      <c r="HC46" s="205"/>
      <c r="HD46" s="205"/>
      <c r="HE46" s="205"/>
      <c r="HF46" s="205"/>
      <c r="HG46" s="205"/>
      <c r="HH46" s="205"/>
      <c r="HI46" s="205"/>
      <c r="HJ46" s="205"/>
      <c r="HK46" s="205"/>
      <c r="HL46" s="205"/>
      <c r="HM46" s="205"/>
      <c r="HN46" s="200"/>
      <c r="HO46" s="200"/>
      <c r="HP46" s="205"/>
      <c r="HQ46" s="205"/>
      <c r="HR46" s="205"/>
      <c r="HS46" s="205"/>
      <c r="HT46" s="205"/>
      <c r="HU46" s="205"/>
      <c r="HV46" s="205"/>
      <c r="HW46" s="205"/>
      <c r="HX46" s="205"/>
      <c r="HY46" s="205"/>
      <c r="HZ46" s="205"/>
      <c r="IA46" s="200"/>
      <c r="IB46" s="200"/>
      <c r="IC46" s="205"/>
      <c r="ID46" s="205"/>
      <c r="IE46" s="205"/>
      <c r="IF46" s="205"/>
      <c r="IG46" s="205"/>
      <c r="IH46" s="205"/>
      <c r="II46" s="205"/>
      <c r="IJ46" s="205"/>
      <c r="IK46" s="205"/>
      <c r="IL46" s="205"/>
      <c r="IM46" s="205"/>
      <c r="IN46" s="200"/>
      <c r="IO46" s="200"/>
      <c r="IP46" s="205"/>
      <c r="IQ46" s="205"/>
      <c r="IR46" s="205"/>
      <c r="IS46" s="205"/>
      <c r="IT46" s="205"/>
      <c r="IU46" s="205"/>
      <c r="IV46" s="205"/>
    </row>
    <row r="47" spans="1:256" x14ac:dyDescent="0.2">
      <c r="A47" s="211"/>
      <c r="B47" s="212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04"/>
      <c r="O47" s="204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00"/>
      <c r="AB47" s="200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0"/>
      <c r="AO47" s="200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0"/>
      <c r="BB47" s="200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5"/>
      <c r="BN47" s="200"/>
      <c r="BO47" s="200"/>
      <c r="BP47" s="205"/>
      <c r="BQ47" s="205"/>
      <c r="BR47" s="205"/>
      <c r="BS47" s="205"/>
      <c r="BT47" s="205"/>
      <c r="BU47" s="205"/>
      <c r="BV47" s="205"/>
      <c r="BW47" s="205"/>
      <c r="BX47" s="205"/>
      <c r="BY47" s="205"/>
      <c r="BZ47" s="205"/>
      <c r="CA47" s="200"/>
      <c r="CB47" s="200"/>
      <c r="CC47" s="205"/>
      <c r="CD47" s="205"/>
      <c r="CE47" s="205"/>
      <c r="CF47" s="205"/>
      <c r="CG47" s="205"/>
      <c r="CH47" s="205"/>
      <c r="CI47" s="205"/>
      <c r="CJ47" s="205"/>
      <c r="CK47" s="205"/>
      <c r="CL47" s="205"/>
      <c r="CM47" s="205"/>
      <c r="CN47" s="200"/>
      <c r="CO47" s="200"/>
      <c r="CP47" s="205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  <c r="DA47" s="200"/>
      <c r="DB47" s="200"/>
      <c r="DC47" s="205"/>
      <c r="DD47" s="205"/>
      <c r="DE47" s="205"/>
      <c r="DF47" s="205"/>
      <c r="DG47" s="205"/>
      <c r="DH47" s="205"/>
      <c r="DI47" s="205"/>
      <c r="DJ47" s="205"/>
      <c r="DK47" s="205"/>
      <c r="DL47" s="205"/>
      <c r="DM47" s="205"/>
      <c r="DN47" s="200"/>
      <c r="DO47" s="200"/>
      <c r="DP47" s="205"/>
      <c r="DQ47" s="205"/>
      <c r="DR47" s="205"/>
      <c r="DS47" s="205"/>
      <c r="DT47" s="205"/>
      <c r="DU47" s="205"/>
      <c r="DV47" s="205"/>
      <c r="DW47" s="205"/>
      <c r="DX47" s="205"/>
      <c r="DY47" s="205"/>
      <c r="DZ47" s="205"/>
      <c r="EA47" s="200"/>
      <c r="EB47" s="200"/>
      <c r="EC47" s="205"/>
      <c r="ED47" s="205"/>
      <c r="EE47" s="205"/>
      <c r="EF47" s="205"/>
      <c r="EG47" s="205"/>
      <c r="EH47" s="205"/>
      <c r="EI47" s="205"/>
      <c r="EJ47" s="205"/>
      <c r="EK47" s="205"/>
      <c r="EL47" s="205"/>
      <c r="EM47" s="205"/>
      <c r="EN47" s="200"/>
      <c r="EO47" s="200"/>
      <c r="EP47" s="205"/>
      <c r="EQ47" s="205"/>
      <c r="ER47" s="205"/>
      <c r="ES47" s="205"/>
      <c r="ET47" s="205"/>
      <c r="EU47" s="205"/>
      <c r="EV47" s="205"/>
      <c r="EW47" s="205"/>
      <c r="EX47" s="205"/>
      <c r="EY47" s="205"/>
      <c r="EZ47" s="205"/>
      <c r="FA47" s="200"/>
      <c r="FB47" s="200"/>
      <c r="FC47" s="205"/>
      <c r="FD47" s="205"/>
      <c r="FE47" s="205"/>
      <c r="FF47" s="205"/>
      <c r="FG47" s="205"/>
      <c r="FH47" s="205"/>
      <c r="FI47" s="205"/>
      <c r="FJ47" s="205"/>
      <c r="FK47" s="205"/>
      <c r="FL47" s="205"/>
      <c r="FM47" s="205"/>
      <c r="FN47" s="200"/>
      <c r="FO47" s="200"/>
      <c r="FP47" s="205"/>
      <c r="FQ47" s="205"/>
      <c r="FR47" s="205"/>
      <c r="FS47" s="205"/>
      <c r="FT47" s="205"/>
      <c r="FU47" s="205"/>
      <c r="FV47" s="205"/>
      <c r="FW47" s="205"/>
      <c r="FX47" s="205"/>
      <c r="FY47" s="205"/>
      <c r="FZ47" s="205"/>
      <c r="GA47" s="200"/>
      <c r="GB47" s="200"/>
      <c r="GC47" s="205"/>
      <c r="GD47" s="205"/>
      <c r="GE47" s="205"/>
      <c r="GF47" s="205"/>
      <c r="GG47" s="205"/>
      <c r="GH47" s="205"/>
      <c r="GI47" s="205"/>
      <c r="GJ47" s="205"/>
      <c r="GK47" s="205"/>
      <c r="GL47" s="205"/>
      <c r="GM47" s="205"/>
      <c r="GN47" s="200"/>
      <c r="GO47" s="200"/>
      <c r="GP47" s="205"/>
      <c r="GQ47" s="205"/>
      <c r="GR47" s="205"/>
      <c r="GS47" s="205"/>
      <c r="GT47" s="205"/>
      <c r="GU47" s="205"/>
      <c r="GV47" s="205"/>
      <c r="GW47" s="205"/>
      <c r="GX47" s="205"/>
      <c r="GY47" s="205"/>
      <c r="GZ47" s="205"/>
      <c r="HA47" s="200"/>
      <c r="HB47" s="200"/>
      <c r="HC47" s="205"/>
      <c r="HD47" s="205"/>
      <c r="HE47" s="205"/>
      <c r="HF47" s="205"/>
      <c r="HG47" s="205"/>
      <c r="HH47" s="205"/>
      <c r="HI47" s="205"/>
      <c r="HJ47" s="205"/>
      <c r="HK47" s="205"/>
      <c r="HL47" s="205"/>
      <c r="HM47" s="205"/>
      <c r="HN47" s="200"/>
      <c r="HO47" s="200"/>
      <c r="HP47" s="205"/>
      <c r="HQ47" s="205"/>
      <c r="HR47" s="205"/>
      <c r="HS47" s="205"/>
      <c r="HT47" s="205"/>
      <c r="HU47" s="205"/>
      <c r="HV47" s="205"/>
      <c r="HW47" s="205"/>
      <c r="HX47" s="205"/>
      <c r="HY47" s="205"/>
      <c r="HZ47" s="205"/>
      <c r="IA47" s="200"/>
      <c r="IB47" s="200"/>
      <c r="IC47" s="205"/>
      <c r="ID47" s="205"/>
      <c r="IE47" s="205"/>
      <c r="IF47" s="205"/>
      <c r="IG47" s="205"/>
      <c r="IH47" s="205"/>
      <c r="II47" s="205"/>
      <c r="IJ47" s="205"/>
      <c r="IK47" s="205"/>
      <c r="IL47" s="205"/>
      <c r="IM47" s="205"/>
      <c r="IN47" s="200"/>
      <c r="IO47" s="200"/>
      <c r="IP47" s="205"/>
      <c r="IQ47" s="205"/>
      <c r="IR47" s="205"/>
      <c r="IS47" s="205"/>
      <c r="IT47" s="205"/>
      <c r="IU47" s="205"/>
      <c r="IV47" s="205"/>
    </row>
    <row r="48" spans="1:256" x14ac:dyDescent="0.2">
      <c r="A48" s="211"/>
      <c r="B48" s="212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04"/>
      <c r="O48" s="204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00"/>
      <c r="AB48" s="200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0"/>
      <c r="AO48" s="200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0"/>
      <c r="BB48" s="200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5"/>
      <c r="BN48" s="200"/>
      <c r="BO48" s="200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200"/>
      <c r="CB48" s="200"/>
      <c r="CC48" s="205"/>
      <c r="CD48" s="205"/>
      <c r="CE48" s="205"/>
      <c r="CF48" s="205"/>
      <c r="CG48" s="205"/>
      <c r="CH48" s="205"/>
      <c r="CI48" s="205"/>
      <c r="CJ48" s="205"/>
      <c r="CK48" s="205"/>
      <c r="CL48" s="205"/>
      <c r="CM48" s="205"/>
      <c r="CN48" s="200"/>
      <c r="CO48" s="200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0"/>
      <c r="DB48" s="200"/>
      <c r="DC48" s="205"/>
      <c r="DD48" s="205"/>
      <c r="DE48" s="205"/>
      <c r="DF48" s="205"/>
      <c r="DG48" s="205"/>
      <c r="DH48" s="205"/>
      <c r="DI48" s="205"/>
      <c r="DJ48" s="205"/>
      <c r="DK48" s="205"/>
      <c r="DL48" s="205"/>
      <c r="DM48" s="205"/>
      <c r="DN48" s="200"/>
      <c r="DO48" s="200"/>
      <c r="DP48" s="205"/>
      <c r="DQ48" s="205"/>
      <c r="DR48" s="205"/>
      <c r="DS48" s="205"/>
      <c r="DT48" s="205"/>
      <c r="DU48" s="205"/>
      <c r="DV48" s="205"/>
      <c r="DW48" s="205"/>
      <c r="DX48" s="205"/>
      <c r="DY48" s="205"/>
      <c r="DZ48" s="205"/>
      <c r="EA48" s="200"/>
      <c r="EB48" s="200"/>
      <c r="EC48" s="205"/>
      <c r="ED48" s="205"/>
      <c r="EE48" s="205"/>
      <c r="EF48" s="205"/>
      <c r="EG48" s="205"/>
      <c r="EH48" s="205"/>
      <c r="EI48" s="205"/>
      <c r="EJ48" s="205"/>
      <c r="EK48" s="205"/>
      <c r="EL48" s="205"/>
      <c r="EM48" s="205"/>
      <c r="EN48" s="200"/>
      <c r="EO48" s="200"/>
      <c r="EP48" s="205"/>
      <c r="EQ48" s="205"/>
      <c r="ER48" s="205"/>
      <c r="ES48" s="205"/>
      <c r="ET48" s="205"/>
      <c r="EU48" s="205"/>
      <c r="EV48" s="205"/>
      <c r="EW48" s="205"/>
      <c r="EX48" s="205"/>
      <c r="EY48" s="205"/>
      <c r="EZ48" s="205"/>
      <c r="FA48" s="200"/>
      <c r="FB48" s="200"/>
      <c r="FC48" s="205"/>
      <c r="FD48" s="205"/>
      <c r="FE48" s="205"/>
      <c r="FF48" s="205"/>
      <c r="FG48" s="205"/>
      <c r="FH48" s="205"/>
      <c r="FI48" s="205"/>
      <c r="FJ48" s="205"/>
      <c r="FK48" s="205"/>
      <c r="FL48" s="205"/>
      <c r="FM48" s="205"/>
      <c r="FN48" s="200"/>
      <c r="FO48" s="200"/>
      <c r="FP48" s="205"/>
      <c r="FQ48" s="205"/>
      <c r="FR48" s="205"/>
      <c r="FS48" s="205"/>
      <c r="FT48" s="205"/>
      <c r="FU48" s="205"/>
      <c r="FV48" s="205"/>
      <c r="FW48" s="205"/>
      <c r="FX48" s="205"/>
      <c r="FY48" s="205"/>
      <c r="FZ48" s="205"/>
      <c r="GA48" s="200"/>
      <c r="GB48" s="200"/>
      <c r="GC48" s="205"/>
      <c r="GD48" s="205"/>
      <c r="GE48" s="205"/>
      <c r="GF48" s="205"/>
      <c r="GG48" s="205"/>
      <c r="GH48" s="205"/>
      <c r="GI48" s="205"/>
      <c r="GJ48" s="205"/>
      <c r="GK48" s="205"/>
      <c r="GL48" s="205"/>
      <c r="GM48" s="205"/>
      <c r="GN48" s="200"/>
      <c r="GO48" s="200"/>
      <c r="GP48" s="205"/>
      <c r="GQ48" s="205"/>
      <c r="GR48" s="205"/>
      <c r="GS48" s="205"/>
      <c r="GT48" s="205"/>
      <c r="GU48" s="205"/>
      <c r="GV48" s="205"/>
      <c r="GW48" s="205"/>
      <c r="GX48" s="205"/>
      <c r="GY48" s="205"/>
      <c r="GZ48" s="205"/>
      <c r="HA48" s="200"/>
      <c r="HB48" s="200"/>
      <c r="HC48" s="205"/>
      <c r="HD48" s="205"/>
      <c r="HE48" s="205"/>
      <c r="HF48" s="205"/>
      <c r="HG48" s="205"/>
      <c r="HH48" s="205"/>
      <c r="HI48" s="205"/>
      <c r="HJ48" s="205"/>
      <c r="HK48" s="205"/>
      <c r="HL48" s="205"/>
      <c r="HM48" s="205"/>
      <c r="HN48" s="200"/>
      <c r="HO48" s="200"/>
      <c r="HP48" s="205"/>
      <c r="HQ48" s="205"/>
      <c r="HR48" s="205"/>
      <c r="HS48" s="205"/>
      <c r="HT48" s="205"/>
      <c r="HU48" s="205"/>
      <c r="HV48" s="205"/>
      <c r="HW48" s="205"/>
      <c r="HX48" s="205"/>
      <c r="HY48" s="205"/>
      <c r="HZ48" s="205"/>
      <c r="IA48" s="200"/>
      <c r="IB48" s="200"/>
      <c r="IC48" s="205"/>
      <c r="ID48" s="205"/>
      <c r="IE48" s="205"/>
      <c r="IF48" s="205"/>
      <c r="IG48" s="205"/>
      <c r="IH48" s="205"/>
      <c r="II48" s="205"/>
      <c r="IJ48" s="205"/>
      <c r="IK48" s="205"/>
      <c r="IL48" s="205"/>
      <c r="IM48" s="205"/>
      <c r="IN48" s="200"/>
      <c r="IO48" s="200"/>
      <c r="IP48" s="205"/>
      <c r="IQ48" s="205"/>
      <c r="IR48" s="205"/>
      <c r="IS48" s="205"/>
      <c r="IT48" s="205"/>
      <c r="IU48" s="205"/>
      <c r="IV48" s="205"/>
    </row>
    <row r="49" spans="1:256" x14ac:dyDescent="0.2">
      <c r="A49" s="211"/>
      <c r="B49" s="212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04"/>
      <c r="O49" s="204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00"/>
      <c r="AB49" s="200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0"/>
      <c r="AO49" s="200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0"/>
      <c r="BB49" s="200"/>
      <c r="BC49" s="205"/>
      <c r="BD49" s="205"/>
      <c r="BE49" s="205"/>
      <c r="BF49" s="205"/>
      <c r="BG49" s="205"/>
      <c r="BH49" s="205"/>
      <c r="BI49" s="205"/>
      <c r="BJ49" s="205"/>
      <c r="BK49" s="205"/>
      <c r="BL49" s="205"/>
      <c r="BM49" s="205"/>
      <c r="BN49" s="200"/>
      <c r="BO49" s="200"/>
      <c r="BP49" s="205"/>
      <c r="BQ49" s="205"/>
      <c r="BR49" s="205"/>
      <c r="BS49" s="205"/>
      <c r="BT49" s="205"/>
      <c r="BU49" s="205"/>
      <c r="BV49" s="205"/>
      <c r="BW49" s="205"/>
      <c r="BX49" s="205"/>
      <c r="BY49" s="205"/>
      <c r="BZ49" s="205"/>
      <c r="CA49" s="200"/>
      <c r="CB49" s="200"/>
      <c r="CC49" s="205"/>
      <c r="CD49" s="205"/>
      <c r="CE49" s="205"/>
      <c r="CF49" s="205"/>
      <c r="CG49" s="205"/>
      <c r="CH49" s="205"/>
      <c r="CI49" s="205"/>
      <c r="CJ49" s="205"/>
      <c r="CK49" s="205"/>
      <c r="CL49" s="205"/>
      <c r="CM49" s="205"/>
      <c r="CN49" s="200"/>
      <c r="CO49" s="200"/>
      <c r="CP49" s="205"/>
      <c r="CQ49" s="205"/>
      <c r="CR49" s="205"/>
      <c r="CS49" s="205"/>
      <c r="CT49" s="205"/>
      <c r="CU49" s="205"/>
      <c r="CV49" s="205"/>
      <c r="CW49" s="205"/>
      <c r="CX49" s="205"/>
      <c r="CY49" s="205"/>
      <c r="CZ49" s="205"/>
      <c r="DA49" s="200"/>
      <c r="DB49" s="200"/>
      <c r="DC49" s="205"/>
      <c r="DD49" s="205"/>
      <c r="DE49" s="205"/>
      <c r="DF49" s="205"/>
      <c r="DG49" s="205"/>
      <c r="DH49" s="205"/>
      <c r="DI49" s="205"/>
      <c r="DJ49" s="205"/>
      <c r="DK49" s="205"/>
      <c r="DL49" s="205"/>
      <c r="DM49" s="205"/>
      <c r="DN49" s="200"/>
      <c r="DO49" s="200"/>
      <c r="DP49" s="205"/>
      <c r="DQ49" s="205"/>
      <c r="DR49" s="205"/>
      <c r="DS49" s="205"/>
      <c r="DT49" s="205"/>
      <c r="DU49" s="205"/>
      <c r="DV49" s="205"/>
      <c r="DW49" s="205"/>
      <c r="DX49" s="205"/>
      <c r="DY49" s="205"/>
      <c r="DZ49" s="205"/>
      <c r="EA49" s="200"/>
      <c r="EB49" s="200"/>
      <c r="EC49" s="205"/>
      <c r="ED49" s="205"/>
      <c r="EE49" s="205"/>
      <c r="EF49" s="205"/>
      <c r="EG49" s="205"/>
      <c r="EH49" s="205"/>
      <c r="EI49" s="205"/>
      <c r="EJ49" s="205"/>
      <c r="EK49" s="205"/>
      <c r="EL49" s="205"/>
      <c r="EM49" s="205"/>
      <c r="EN49" s="200"/>
      <c r="EO49" s="200"/>
      <c r="EP49" s="205"/>
      <c r="EQ49" s="205"/>
      <c r="ER49" s="205"/>
      <c r="ES49" s="205"/>
      <c r="ET49" s="205"/>
      <c r="EU49" s="205"/>
      <c r="EV49" s="205"/>
      <c r="EW49" s="205"/>
      <c r="EX49" s="205"/>
      <c r="EY49" s="205"/>
      <c r="EZ49" s="205"/>
      <c r="FA49" s="200"/>
      <c r="FB49" s="200"/>
      <c r="FC49" s="205"/>
      <c r="FD49" s="205"/>
      <c r="FE49" s="205"/>
      <c r="FF49" s="205"/>
      <c r="FG49" s="205"/>
      <c r="FH49" s="205"/>
      <c r="FI49" s="205"/>
      <c r="FJ49" s="205"/>
      <c r="FK49" s="205"/>
      <c r="FL49" s="205"/>
      <c r="FM49" s="205"/>
      <c r="FN49" s="200"/>
      <c r="FO49" s="200"/>
      <c r="FP49" s="205"/>
      <c r="FQ49" s="205"/>
      <c r="FR49" s="205"/>
      <c r="FS49" s="205"/>
      <c r="FT49" s="205"/>
      <c r="FU49" s="205"/>
      <c r="FV49" s="205"/>
      <c r="FW49" s="205"/>
      <c r="FX49" s="205"/>
      <c r="FY49" s="205"/>
      <c r="FZ49" s="205"/>
      <c r="GA49" s="200"/>
      <c r="GB49" s="200"/>
      <c r="GC49" s="205"/>
      <c r="GD49" s="205"/>
      <c r="GE49" s="205"/>
      <c r="GF49" s="205"/>
      <c r="GG49" s="205"/>
      <c r="GH49" s="205"/>
      <c r="GI49" s="205"/>
      <c r="GJ49" s="205"/>
      <c r="GK49" s="205"/>
      <c r="GL49" s="205"/>
      <c r="GM49" s="205"/>
      <c r="GN49" s="200"/>
      <c r="GO49" s="200"/>
      <c r="GP49" s="205"/>
      <c r="GQ49" s="205"/>
      <c r="GR49" s="205"/>
      <c r="GS49" s="205"/>
      <c r="GT49" s="205"/>
      <c r="GU49" s="205"/>
      <c r="GV49" s="205"/>
      <c r="GW49" s="205"/>
      <c r="GX49" s="205"/>
      <c r="GY49" s="205"/>
      <c r="GZ49" s="205"/>
      <c r="HA49" s="200"/>
      <c r="HB49" s="200"/>
      <c r="HC49" s="205"/>
      <c r="HD49" s="205"/>
      <c r="HE49" s="205"/>
      <c r="HF49" s="205"/>
      <c r="HG49" s="205"/>
      <c r="HH49" s="205"/>
      <c r="HI49" s="205"/>
      <c r="HJ49" s="205"/>
      <c r="HK49" s="205"/>
      <c r="HL49" s="205"/>
      <c r="HM49" s="205"/>
      <c r="HN49" s="200"/>
      <c r="HO49" s="200"/>
      <c r="HP49" s="205"/>
      <c r="HQ49" s="205"/>
      <c r="HR49" s="205"/>
      <c r="HS49" s="205"/>
      <c r="HT49" s="205"/>
      <c r="HU49" s="205"/>
      <c r="HV49" s="205"/>
      <c r="HW49" s="205"/>
      <c r="HX49" s="205"/>
      <c r="HY49" s="205"/>
      <c r="HZ49" s="205"/>
      <c r="IA49" s="200"/>
      <c r="IB49" s="200"/>
      <c r="IC49" s="205"/>
      <c r="ID49" s="205"/>
      <c r="IE49" s="205"/>
      <c r="IF49" s="205"/>
      <c r="IG49" s="205"/>
      <c r="IH49" s="205"/>
      <c r="II49" s="205"/>
      <c r="IJ49" s="205"/>
      <c r="IK49" s="205"/>
      <c r="IL49" s="205"/>
      <c r="IM49" s="205"/>
      <c r="IN49" s="200"/>
      <c r="IO49" s="200"/>
      <c r="IP49" s="205"/>
      <c r="IQ49" s="205"/>
      <c r="IR49" s="205"/>
      <c r="IS49" s="205"/>
      <c r="IT49" s="205"/>
      <c r="IU49" s="205"/>
      <c r="IV49" s="205"/>
    </row>
    <row r="50" spans="1:256" x14ac:dyDescent="0.2">
      <c r="A50" s="211"/>
      <c r="B50" s="212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1"/>
      <c r="B51" s="212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1"/>
      <c r="B52" s="212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1"/>
      <c r="B53" s="212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1"/>
      <c r="B54" s="212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1"/>
      <c r="B55" s="212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1"/>
      <c r="B56" s="212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1"/>
      <c r="B57" s="212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1"/>
      <c r="B58" s="212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1"/>
      <c r="B59" s="212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 x14ac:dyDescent="0.2">
      <c r="A60" s="211"/>
      <c r="B60" s="212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 x14ac:dyDescent="0.2">
      <c r="A61" s="211"/>
      <c r="B61" s="212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 x14ac:dyDescent="0.2">
      <c r="A62" s="211"/>
      <c r="B62" s="212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 x14ac:dyDescent="0.2">
      <c r="A63" s="211"/>
      <c r="B63" s="212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 x14ac:dyDescent="0.2">
      <c r="A64" s="211"/>
      <c r="B64" s="212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 x14ac:dyDescent="0.2">
      <c r="A65" s="211"/>
      <c r="B65" s="212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 x14ac:dyDescent="0.2">
      <c r="A66" s="211"/>
      <c r="B66" s="212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 x14ac:dyDescent="0.2">
      <c r="A67" s="211"/>
      <c r="B67" s="212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 x14ac:dyDescent="0.2">
      <c r="A68" s="211"/>
      <c r="B68" s="212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 x14ac:dyDescent="0.2">
      <c r="A69" s="211"/>
      <c r="B69" s="212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 x14ac:dyDescent="0.25">
      <c r="A70" s="213"/>
      <c r="B70" s="214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 x14ac:dyDescent="0.2">
      <c r="A71" s="201"/>
      <c r="B71" s="201"/>
      <c r="C71" s="202"/>
      <c r="D71" s="202"/>
      <c r="E71" s="202"/>
      <c r="F71" s="202"/>
      <c r="G71" s="202"/>
      <c r="H71" s="202"/>
      <c r="I71" s="202"/>
      <c r="J71" s="202"/>
      <c r="K71" s="202"/>
      <c r="L71" s="202"/>
    </row>
    <row r="72" spans="1:13" ht="12.75" x14ac:dyDescent="0.2">
      <c r="A72" s="283" t="s">
        <v>848</v>
      </c>
      <c r="B72" s="283"/>
      <c r="C72" s="283"/>
      <c r="D72" s="283"/>
      <c r="E72" s="283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3" t="s">
        <v>768</v>
      </c>
      <c r="B73" s="203" t="s">
        <v>769</v>
      </c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</row>
    <row r="74" spans="1:13" x14ac:dyDescent="0.2">
      <c r="A74" s="204"/>
      <c r="B74" s="204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</row>
    <row r="75" spans="1:13" x14ac:dyDescent="0.2">
      <c r="A75" s="204"/>
      <c r="B75" s="204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</row>
    <row r="76" spans="1:13" x14ac:dyDescent="0.2">
      <c r="A76" s="204"/>
      <c r="B76" s="204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</row>
    <row r="77" spans="1:13" x14ac:dyDescent="0.2">
      <c r="A77" s="204"/>
      <c r="B77" s="204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</row>
    <row r="78" spans="1:13" x14ac:dyDescent="0.2">
      <c r="A78" s="204"/>
      <c r="B78" s="204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</row>
    <row r="79" spans="1:13" x14ac:dyDescent="0.2">
      <c r="A79" s="204"/>
      <c r="B79" s="204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</row>
    <row r="80" spans="1:13" x14ac:dyDescent="0.2">
      <c r="A80" s="204"/>
      <c r="B80" s="204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</row>
    <row r="81" spans="1:13" x14ac:dyDescent="0.2">
      <c r="A81" s="204"/>
      <c r="B81" s="204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</row>
    <row r="82" spans="1:13" x14ac:dyDescent="0.2">
      <c r="A82" s="204"/>
      <c r="B82" s="204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</row>
    <row r="83" spans="1:13" x14ac:dyDescent="0.2">
      <c r="A83" s="204"/>
      <c r="B83" s="204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</row>
    <row r="84" spans="1:13" x14ac:dyDescent="0.2">
      <c r="A84" s="204"/>
      <c r="B84" s="204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</row>
    <row r="85" spans="1:13" x14ac:dyDescent="0.2">
      <c r="A85" s="204"/>
      <c r="B85" s="204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</row>
    <row r="86" spans="1:13" x14ac:dyDescent="0.2">
      <c r="A86" s="204"/>
      <c r="B86" s="204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</row>
    <row r="87" spans="1:13" x14ac:dyDescent="0.2">
      <c r="A87" s="204"/>
      <c r="B87" s="204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</row>
    <row r="88" spans="1:13" x14ac:dyDescent="0.2">
      <c r="A88" s="204"/>
      <c r="B88" s="204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</row>
    <row r="89" spans="1:13" x14ac:dyDescent="0.2">
      <c r="A89" s="204"/>
      <c r="B89" s="204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</row>
    <row r="90" spans="1:13" x14ac:dyDescent="0.2">
      <c r="A90" s="204"/>
      <c r="B90" s="204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</row>
  </sheetData>
  <mergeCells count="221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15:M17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DP32:DZ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2016-10-24T11:56:59Z</cp:lastPrinted>
  <dcterms:created xsi:type="dcterms:W3CDTF">1997-12-04T19:04:30Z</dcterms:created>
  <dcterms:modified xsi:type="dcterms:W3CDTF">2016-11-30T16:31:45Z</dcterms:modified>
</cp:coreProperties>
</file>